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xr:revisionPtr revIDLastSave="0" documentId="13_ncr:1_{D75947B0-C66A-416E-B2F4-09E3A39D38C7}" xr6:coauthVersionLast="47" xr6:coauthVersionMax="47" xr10:uidLastSave="{00000000-0000-0000-0000-000000000000}"/>
  <workbookProtection workbookAlgorithmName="SHA-512" workbookHashValue="wmGrKOfO02LtYG58DKSl1VpIhaanf+yV2No+uG/BYoCziKkM5PXu3j1Xks712hrVfwWc74qPLxI9eUvg0CDs8Q==" workbookSaltValue="6HJSmuAqMUAmuDBetpH5wg==" workbookSpinCount="100000" lockStructure="1"/>
  <bookViews>
    <workbookView xWindow="28680" yWindow="-120" windowWidth="29040" windowHeight="15720" tabRatio="494" xr2:uid="{00000000-000D-0000-FFFF-FFFF00000000}"/>
  </bookViews>
  <sheets>
    <sheet name="HVAC sizing letter" sheetId="1" r:id="rId1"/>
    <sheet name="Example" sheetId="8" r:id="rId2"/>
    <sheet name="A" sheetId="2" state="hidden" r:id="rId3"/>
    <sheet name="sanity check" sheetId="6" state="hidden" r:id="rId4"/>
    <sheet name="CALC-INPUTS" sheetId="4" state="hidden" r:id="rId5"/>
    <sheet name="chart" sheetId="3" state="hidden" r:id="rId6"/>
    <sheet name="Design weather " sheetId="5" state="hidden" r:id="rId7"/>
  </sheets>
  <definedNames>
    <definedName name="_xlnm.Print_Area" localSheetId="2">A!$B$2:$D$33</definedName>
    <definedName name="_xlnm.Print_Area" localSheetId="1">Example!$B$2:$D$39</definedName>
    <definedName name="_xlnm.Print_Area" localSheetId="0">'HVAC sizing letter'!$B$2:$D$39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8" l="1"/>
  <c r="B39" i="8"/>
  <c r="B33" i="8"/>
  <c r="B29" i="8"/>
  <c r="F25" i="8"/>
  <c r="E25" i="8"/>
  <c r="F24" i="8"/>
  <c r="E24" i="8"/>
  <c r="F23" i="8"/>
  <c r="B20" i="8"/>
  <c r="B19" i="8"/>
  <c r="B18" i="8"/>
  <c r="B39" i="1"/>
  <c r="AC19" i="6"/>
  <c r="AB19" i="6"/>
  <c r="AA19" i="6"/>
  <c r="Z19" i="6"/>
  <c r="Y19" i="6"/>
  <c r="AC18" i="6"/>
  <c r="AB18" i="6"/>
  <c r="AA18" i="6"/>
  <c r="Z18" i="6"/>
  <c r="Y18" i="6"/>
  <c r="AC17" i="6"/>
  <c r="AB17" i="6"/>
  <c r="AA17" i="6"/>
  <c r="Z17" i="6"/>
  <c r="Y17" i="6"/>
  <c r="AC16" i="6"/>
  <c r="AB16" i="6"/>
  <c r="AA16" i="6"/>
  <c r="Z16" i="6"/>
  <c r="Y16" i="6"/>
  <c r="AC15" i="6"/>
  <c r="AB15" i="6"/>
  <c r="AA15" i="6"/>
  <c r="Z15" i="6"/>
  <c r="Y15" i="6"/>
  <c r="Z5" i="6"/>
  <c r="AA5" i="6"/>
  <c r="AB5" i="6"/>
  <c r="AC5" i="6"/>
  <c r="Z6" i="6"/>
  <c r="AA6" i="6"/>
  <c r="AB6" i="6"/>
  <c r="AC6" i="6"/>
  <c r="Z7" i="6"/>
  <c r="AA7" i="6"/>
  <c r="AB7" i="6"/>
  <c r="AC7" i="6"/>
  <c r="Z8" i="6"/>
  <c r="AA8" i="6"/>
  <c r="AB8" i="6"/>
  <c r="AC8" i="6"/>
  <c r="Z9" i="6"/>
  <c r="AA9" i="6"/>
  <c r="AB9" i="6"/>
  <c r="AC9" i="6"/>
  <c r="Y6" i="6"/>
  <c r="Y7" i="6"/>
  <c r="Y8" i="6"/>
  <c r="Y9" i="6"/>
  <c r="Y5" i="6"/>
  <c r="S35" i="6"/>
  <c r="U35" i="6" s="1"/>
  <c r="S36" i="6"/>
  <c r="U36" i="6" s="1"/>
  <c r="S37" i="6"/>
  <c r="U37" i="6" s="1"/>
  <c r="S38" i="6"/>
  <c r="U38" i="6" s="1"/>
  <c r="S39" i="6"/>
  <c r="U39" i="6" s="1"/>
  <c r="S40" i="6"/>
  <c r="U40" i="6" s="1"/>
  <c r="S41" i="6"/>
  <c r="U41" i="6" s="1"/>
  <c r="S42" i="6"/>
  <c r="U42" i="6" s="1"/>
  <c r="S43" i="6"/>
  <c r="U43" i="6" s="1"/>
  <c r="S44" i="6"/>
  <c r="U44" i="6" s="1"/>
  <c r="S45" i="6"/>
  <c r="U45" i="6" s="1"/>
  <c r="S46" i="6"/>
  <c r="U46" i="6" s="1"/>
  <c r="S47" i="6"/>
  <c r="U47" i="6" s="1"/>
  <c r="S48" i="6"/>
  <c r="U48" i="6" s="1"/>
  <c r="S49" i="6"/>
  <c r="U49" i="6" s="1"/>
  <c r="S50" i="6"/>
  <c r="U50" i="6" s="1"/>
  <c r="S51" i="6"/>
  <c r="U51" i="6" s="1"/>
  <c r="S52" i="6"/>
  <c r="U52" i="6" s="1"/>
  <c r="S53" i="6"/>
  <c r="U53" i="6" s="1"/>
  <c r="S54" i="6"/>
  <c r="U54" i="6" s="1"/>
  <c r="S55" i="6"/>
  <c r="U55" i="6" s="1"/>
  <c r="S56" i="6"/>
  <c r="U56" i="6" s="1"/>
  <c r="S57" i="6"/>
  <c r="U57" i="6" s="1"/>
  <c r="S58" i="6"/>
  <c r="U58" i="6" s="1"/>
  <c r="S34" i="6"/>
  <c r="U34" i="6" s="1"/>
  <c r="R35" i="6"/>
  <c r="T35" i="6" s="1"/>
  <c r="R36" i="6"/>
  <c r="T36" i="6" s="1"/>
  <c r="R37" i="6"/>
  <c r="T37" i="6" s="1"/>
  <c r="R38" i="6"/>
  <c r="T38" i="6" s="1"/>
  <c r="R39" i="6"/>
  <c r="T39" i="6" s="1"/>
  <c r="R40" i="6"/>
  <c r="T40" i="6" s="1"/>
  <c r="R41" i="6"/>
  <c r="T41" i="6" s="1"/>
  <c r="R42" i="6"/>
  <c r="T42" i="6" s="1"/>
  <c r="R43" i="6"/>
  <c r="T43" i="6" s="1"/>
  <c r="R44" i="6"/>
  <c r="T44" i="6" s="1"/>
  <c r="R45" i="6"/>
  <c r="T45" i="6" s="1"/>
  <c r="R46" i="6"/>
  <c r="T46" i="6" s="1"/>
  <c r="R47" i="6"/>
  <c r="T47" i="6" s="1"/>
  <c r="R48" i="6"/>
  <c r="T48" i="6" s="1"/>
  <c r="R49" i="6"/>
  <c r="T49" i="6" s="1"/>
  <c r="R50" i="6"/>
  <c r="T50" i="6" s="1"/>
  <c r="R51" i="6"/>
  <c r="T51" i="6" s="1"/>
  <c r="R52" i="6"/>
  <c r="T52" i="6" s="1"/>
  <c r="R53" i="6"/>
  <c r="T53" i="6" s="1"/>
  <c r="R54" i="6"/>
  <c r="T54" i="6" s="1"/>
  <c r="R55" i="6"/>
  <c r="T55" i="6" s="1"/>
  <c r="R56" i="6"/>
  <c r="T56" i="6" s="1"/>
  <c r="R57" i="6"/>
  <c r="T57" i="6" s="1"/>
  <c r="R58" i="6"/>
  <c r="T58" i="6" s="1"/>
  <c r="R34" i="6"/>
  <c r="T34" i="6" s="1"/>
  <c r="I35" i="6"/>
  <c r="K35" i="6" s="1"/>
  <c r="I36" i="6"/>
  <c r="K36" i="6" s="1"/>
  <c r="I37" i="6"/>
  <c r="K37" i="6" s="1"/>
  <c r="I38" i="6"/>
  <c r="K38" i="6" s="1"/>
  <c r="I39" i="6"/>
  <c r="K39" i="6" s="1"/>
  <c r="I40" i="6"/>
  <c r="K40" i="6" s="1"/>
  <c r="I41" i="6"/>
  <c r="K41" i="6" s="1"/>
  <c r="I42" i="6"/>
  <c r="K42" i="6" s="1"/>
  <c r="I43" i="6"/>
  <c r="K43" i="6" s="1"/>
  <c r="I44" i="6"/>
  <c r="K44" i="6" s="1"/>
  <c r="I45" i="6"/>
  <c r="I46" i="6"/>
  <c r="K46" i="6" s="1"/>
  <c r="I47" i="6"/>
  <c r="K47" i="6" s="1"/>
  <c r="I48" i="6"/>
  <c r="K48" i="6" s="1"/>
  <c r="I49" i="6"/>
  <c r="K49" i="6" s="1"/>
  <c r="I50" i="6"/>
  <c r="K50" i="6" s="1"/>
  <c r="I51" i="6"/>
  <c r="K51" i="6" s="1"/>
  <c r="I52" i="6"/>
  <c r="K52" i="6" s="1"/>
  <c r="I53" i="6"/>
  <c r="K53" i="6" s="1"/>
  <c r="I54" i="6"/>
  <c r="K54" i="6" s="1"/>
  <c r="I55" i="6"/>
  <c r="K55" i="6" s="1"/>
  <c r="I56" i="6"/>
  <c r="K56" i="6" s="1"/>
  <c r="I57" i="6"/>
  <c r="K57" i="6" s="1"/>
  <c r="I58" i="6"/>
  <c r="K58" i="6" s="1"/>
  <c r="I34" i="6"/>
  <c r="K34" i="6" s="1"/>
  <c r="H44" i="6"/>
  <c r="J44" i="6" s="1"/>
  <c r="H45" i="6"/>
  <c r="J45" i="6" s="1"/>
  <c r="H46" i="6"/>
  <c r="J46" i="6" s="1"/>
  <c r="H47" i="6"/>
  <c r="J47" i="6" s="1"/>
  <c r="H48" i="6"/>
  <c r="J48" i="6" s="1"/>
  <c r="H49" i="6"/>
  <c r="J49" i="6" s="1"/>
  <c r="H50" i="6"/>
  <c r="J50" i="6" s="1"/>
  <c r="H51" i="6"/>
  <c r="J51" i="6" s="1"/>
  <c r="H52" i="6"/>
  <c r="J52" i="6" s="1"/>
  <c r="H53" i="6"/>
  <c r="J53" i="6" s="1"/>
  <c r="H54" i="6"/>
  <c r="J54" i="6" s="1"/>
  <c r="H55" i="6"/>
  <c r="J55" i="6" s="1"/>
  <c r="H56" i="6"/>
  <c r="J56" i="6" s="1"/>
  <c r="H57" i="6"/>
  <c r="J57" i="6" s="1"/>
  <c r="H58" i="6"/>
  <c r="J58" i="6" s="1"/>
  <c r="H39" i="6"/>
  <c r="J39" i="6" s="1"/>
  <c r="H40" i="6"/>
  <c r="J40" i="6" s="1"/>
  <c r="H41" i="6"/>
  <c r="J41" i="6" s="1"/>
  <c r="H42" i="6"/>
  <c r="J42" i="6" s="1"/>
  <c r="H43" i="6"/>
  <c r="J43" i="6" s="1"/>
  <c r="H35" i="6"/>
  <c r="J35" i="6" s="1"/>
  <c r="H36" i="6"/>
  <c r="J36" i="6" s="1"/>
  <c r="H37" i="6"/>
  <c r="J37" i="6" s="1"/>
  <c r="H38" i="6"/>
  <c r="J38" i="6" s="1"/>
  <c r="H34" i="6"/>
  <c r="J34" i="6" s="1"/>
  <c r="K45" i="6"/>
  <c r="H38" i="2"/>
  <c r="X34" i="6" l="1"/>
  <c r="X43" i="6"/>
  <c r="X56" i="6"/>
  <c r="X54" i="6"/>
  <c r="X38" i="6"/>
  <c r="X35" i="6"/>
  <c r="X55" i="6"/>
  <c r="X37" i="6"/>
  <c r="X36" i="6"/>
  <c r="W56" i="6"/>
  <c r="W55" i="6"/>
  <c r="W38" i="6"/>
  <c r="W37" i="6"/>
  <c r="W36" i="6"/>
  <c r="W43" i="6"/>
  <c r="W35" i="6"/>
  <c r="W34" i="6"/>
  <c r="M47" i="6"/>
  <c r="W47" i="6" s="1"/>
  <c r="L47" i="6"/>
  <c r="O39" i="6"/>
  <c r="X39" i="6" s="1"/>
  <c r="N39" i="6"/>
  <c r="O43" i="6"/>
  <c r="N43" i="6"/>
  <c r="O47" i="6"/>
  <c r="X47" i="6" s="1"/>
  <c r="N47" i="6"/>
  <c r="O51" i="6"/>
  <c r="X51" i="6" s="1"/>
  <c r="N51" i="6"/>
  <c r="O55" i="6"/>
  <c r="N55" i="6"/>
  <c r="M35" i="6"/>
  <c r="L35" i="6"/>
  <c r="O35" i="6"/>
  <c r="N35" i="6"/>
  <c r="M48" i="6"/>
  <c r="W48" i="6" s="1"/>
  <c r="L48" i="6"/>
  <c r="M52" i="6"/>
  <c r="W52" i="6" s="1"/>
  <c r="L52" i="6"/>
  <c r="M56" i="6"/>
  <c r="L56" i="6"/>
  <c r="O36" i="6"/>
  <c r="N36" i="6"/>
  <c r="O40" i="6"/>
  <c r="X40" i="6" s="1"/>
  <c r="N40" i="6"/>
  <c r="O44" i="6"/>
  <c r="X44" i="6" s="1"/>
  <c r="N44" i="6"/>
  <c r="O48" i="6"/>
  <c r="X48" i="6" s="1"/>
  <c r="N48" i="6"/>
  <c r="O52" i="6"/>
  <c r="X52" i="6" s="1"/>
  <c r="N52" i="6"/>
  <c r="O56" i="6"/>
  <c r="N56" i="6"/>
  <c r="M39" i="6"/>
  <c r="W39" i="6" s="1"/>
  <c r="L39" i="6"/>
  <c r="M36" i="6"/>
  <c r="L36" i="6"/>
  <c r="M41" i="6"/>
  <c r="W41" i="6" s="1"/>
  <c r="L41" i="6"/>
  <c r="M57" i="6"/>
  <c r="W57" i="6" s="1"/>
  <c r="L57" i="6"/>
  <c r="M43" i="6"/>
  <c r="L43" i="6"/>
  <c r="M55" i="6"/>
  <c r="L55" i="6"/>
  <c r="M44" i="6"/>
  <c r="W44" i="6" s="1"/>
  <c r="L44" i="6"/>
  <c r="M45" i="6"/>
  <c r="W45" i="6" s="1"/>
  <c r="L45" i="6"/>
  <c r="M53" i="6"/>
  <c r="W53" i="6" s="1"/>
  <c r="L53" i="6"/>
  <c r="O37" i="6"/>
  <c r="N37" i="6"/>
  <c r="O41" i="6"/>
  <c r="X41" i="6" s="1"/>
  <c r="N41" i="6"/>
  <c r="O45" i="6"/>
  <c r="X45" i="6" s="1"/>
  <c r="N45" i="6"/>
  <c r="O49" i="6"/>
  <c r="X49" i="6" s="1"/>
  <c r="N49" i="6"/>
  <c r="O53" i="6"/>
  <c r="X53" i="6" s="1"/>
  <c r="N53" i="6"/>
  <c r="O57" i="6"/>
  <c r="X57" i="6" s="1"/>
  <c r="N57" i="6"/>
  <c r="M51" i="6"/>
  <c r="W51" i="6" s="1"/>
  <c r="L51" i="6"/>
  <c r="M40" i="6"/>
  <c r="W40" i="6" s="1"/>
  <c r="L40" i="6"/>
  <c r="M37" i="6"/>
  <c r="L37" i="6"/>
  <c r="M49" i="6"/>
  <c r="W49" i="6" s="1"/>
  <c r="L49" i="6"/>
  <c r="M34" i="6"/>
  <c r="L34" i="6"/>
  <c r="M38" i="6"/>
  <c r="L38" i="6"/>
  <c r="M42" i="6"/>
  <c r="W42" i="6" s="1"/>
  <c r="L42" i="6"/>
  <c r="M46" i="6"/>
  <c r="W46" i="6" s="1"/>
  <c r="L46" i="6"/>
  <c r="M50" i="6"/>
  <c r="W50" i="6" s="1"/>
  <c r="L50" i="6"/>
  <c r="M54" i="6"/>
  <c r="W54" i="6" s="1"/>
  <c r="L54" i="6"/>
  <c r="M58" i="6"/>
  <c r="W58" i="6" s="1"/>
  <c r="L58" i="6"/>
  <c r="O34" i="6"/>
  <c r="N34" i="6"/>
  <c r="O38" i="6"/>
  <c r="N38" i="6"/>
  <c r="O42" i="6"/>
  <c r="X42" i="6" s="1"/>
  <c r="N42" i="6"/>
  <c r="O46" i="6"/>
  <c r="X46" i="6" s="1"/>
  <c r="N46" i="6"/>
  <c r="O50" i="6"/>
  <c r="X50" i="6" s="1"/>
  <c r="N50" i="6"/>
  <c r="O54" i="6"/>
  <c r="N54" i="6"/>
  <c r="O58" i="6"/>
  <c r="X58" i="6" s="1"/>
  <c r="N58" i="6"/>
  <c r="C15" i="2"/>
  <c r="J38" i="2" s="1"/>
  <c r="C16" i="2"/>
  <c r="J40" i="2" s="1"/>
  <c r="C17" i="2"/>
  <c r="J41" i="2" s="1"/>
  <c r="C11" i="2"/>
  <c r="E4" i="4"/>
  <c r="E5" i="4"/>
  <c r="E3" i="4"/>
  <c r="B29" i="1"/>
  <c r="B33" i="1"/>
  <c r="C21" i="2"/>
  <c r="F25" i="1"/>
  <c r="F24" i="1"/>
  <c r="E24" i="1"/>
  <c r="E25" i="1"/>
  <c r="G19" i="1"/>
  <c r="B5" i="4"/>
  <c r="B4" i="4"/>
  <c r="B3" i="4"/>
  <c r="I36" i="3" s="1"/>
  <c r="B18" i="1"/>
  <c r="F23" i="1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D38" i="3"/>
  <c r="D39" i="3"/>
  <c r="D40" i="3"/>
  <c r="D41" i="3"/>
  <c r="D42" i="3"/>
  <c r="D43" i="3"/>
  <c r="D44" i="3"/>
  <c r="D45" i="3"/>
  <c r="D46" i="3"/>
  <c r="B20" i="1"/>
  <c r="B19" i="1"/>
  <c r="C8" i="2"/>
  <c r="L3" i="3"/>
  <c r="L4" i="3"/>
  <c r="L5" i="3"/>
  <c r="L6" i="3"/>
  <c r="L7" i="3"/>
  <c r="L8" i="3"/>
  <c r="L2" i="3"/>
  <c r="M2" i="3"/>
  <c r="K2" i="3"/>
  <c r="I3" i="3"/>
  <c r="I4" i="3"/>
  <c r="I5" i="3"/>
  <c r="I6" i="3"/>
  <c r="I7" i="3"/>
  <c r="I8" i="3"/>
  <c r="I9" i="3"/>
  <c r="I10" i="3"/>
  <c r="I11" i="3"/>
  <c r="I12" i="3"/>
  <c r="I13" i="3"/>
  <c r="I14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2" i="3"/>
  <c r="C3" i="3"/>
  <c r="C4" i="3"/>
  <c r="C5" i="3"/>
  <c r="C6" i="3"/>
  <c r="C7" i="3"/>
  <c r="C8" i="3"/>
  <c r="C9" i="3"/>
  <c r="C10" i="3"/>
  <c r="C11" i="3"/>
  <c r="C12" i="3"/>
  <c r="C13" i="3"/>
  <c r="C14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2" i="3"/>
  <c r="C20" i="2"/>
  <c r="M3" i="3"/>
  <c r="M4" i="3"/>
  <c r="M5" i="3"/>
  <c r="M6" i="3"/>
  <c r="M7" i="3"/>
  <c r="M8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E37" i="3"/>
  <c r="L37" i="3" s="1"/>
  <c r="E38" i="3"/>
  <c r="L38" i="3" s="1"/>
  <c r="E39" i="3"/>
  <c r="G39" i="3" s="1"/>
  <c r="H39" i="3" s="1"/>
  <c r="E40" i="3"/>
  <c r="L40" i="3" s="1"/>
  <c r="E41" i="3"/>
  <c r="L41" i="3" s="1"/>
  <c r="E42" i="3"/>
  <c r="L42" i="3" s="1"/>
  <c r="E43" i="3"/>
  <c r="G43" i="3" s="1"/>
  <c r="H43" i="3" s="1"/>
  <c r="E44" i="3"/>
  <c r="L44" i="3" s="1"/>
  <c r="E45" i="3"/>
  <c r="L45" i="3" s="1"/>
  <c r="E46" i="3"/>
  <c r="L46" i="3" s="1"/>
  <c r="E47" i="3"/>
  <c r="G47" i="3" s="1"/>
  <c r="H47" i="3" s="1"/>
  <c r="E48" i="3"/>
  <c r="G48" i="3" s="1"/>
  <c r="H48" i="3" s="1"/>
  <c r="E49" i="3"/>
  <c r="L49" i="3" s="1"/>
  <c r="E50" i="3"/>
  <c r="L50" i="3" s="1"/>
  <c r="E51" i="3"/>
  <c r="M51" i="3" s="1"/>
  <c r="E52" i="3"/>
  <c r="G52" i="3" s="1"/>
  <c r="H52" i="3" s="1"/>
  <c r="E53" i="3"/>
  <c r="L53" i="3" s="1"/>
  <c r="E54" i="3"/>
  <c r="L54" i="3" s="1"/>
  <c r="E55" i="3"/>
  <c r="G55" i="3" s="1"/>
  <c r="H55" i="3" s="1"/>
  <c r="E56" i="3"/>
  <c r="L56" i="3" s="1"/>
  <c r="E57" i="3"/>
  <c r="L57" i="3" s="1"/>
  <c r="E58" i="3"/>
  <c r="M58" i="3" s="1"/>
  <c r="E59" i="3"/>
  <c r="M59" i="3" s="1"/>
  <c r="E60" i="3"/>
  <c r="M60" i="3" s="1"/>
  <c r="E61" i="3"/>
  <c r="L61" i="3" s="1"/>
  <c r="I41" i="2"/>
  <c r="I40" i="2"/>
  <c r="C12" i="2"/>
  <c r="C7" i="2"/>
  <c r="I38" i="2" l="1"/>
  <c r="J39" i="2"/>
  <c r="L53" i="2"/>
  <c r="L61" i="2"/>
  <c r="L51" i="2"/>
  <c r="C36" i="3"/>
  <c r="N6" i="3"/>
  <c r="N4" i="3"/>
  <c r="N5" i="3"/>
  <c r="N8" i="3"/>
  <c r="N3" i="3"/>
  <c r="C3" i="4"/>
  <c r="D3" i="4" s="1"/>
  <c r="I21" i="3" s="1"/>
  <c r="J42" i="2"/>
  <c r="G40" i="3"/>
  <c r="H40" i="3" s="1"/>
  <c r="N2" i="3"/>
  <c r="G56" i="3"/>
  <c r="H56" i="3" s="1"/>
  <c r="M42" i="3"/>
  <c r="N42" i="3" s="1"/>
  <c r="G54" i="3"/>
  <c r="H54" i="3" s="1"/>
  <c r="G50" i="3"/>
  <c r="H50" i="3" s="1"/>
  <c r="M50" i="3"/>
  <c r="N50" i="3" s="1"/>
  <c r="G44" i="3"/>
  <c r="H44" i="3" s="1"/>
  <c r="M44" i="3"/>
  <c r="N44" i="3" s="1"/>
  <c r="L51" i="3"/>
  <c r="N51" i="3" s="1"/>
  <c r="L54" i="2"/>
  <c r="L55" i="2"/>
  <c r="M61" i="3"/>
  <c r="N61" i="3" s="1"/>
  <c r="M56" i="3"/>
  <c r="N56" i="3" s="1"/>
  <c r="N7" i="3"/>
  <c r="M46" i="3"/>
  <c r="N46" i="3" s="1"/>
  <c r="M52" i="3"/>
  <c r="G37" i="3"/>
  <c r="H37" i="3" s="1"/>
  <c r="G38" i="3"/>
  <c r="H38" i="3" s="1"/>
  <c r="M54" i="3"/>
  <c r="N54" i="3" s="1"/>
  <c r="G51" i="3"/>
  <c r="H51" i="3" s="1"/>
  <c r="L60" i="3"/>
  <c r="N60" i="3" s="1"/>
  <c r="L52" i="2"/>
  <c r="L52" i="3"/>
  <c r="L64" i="2"/>
  <c r="G60" i="3"/>
  <c r="H60" i="3" s="1"/>
  <c r="M37" i="3"/>
  <c r="N37" i="3" s="1"/>
  <c r="L65" i="2"/>
  <c r="G42" i="3"/>
  <c r="H42" i="3" s="1"/>
  <c r="G46" i="3"/>
  <c r="H46" i="3" s="1"/>
  <c r="G49" i="3"/>
  <c r="H49" i="3" s="1"/>
  <c r="M48" i="3"/>
  <c r="L62" i="2"/>
  <c r="L39" i="3"/>
  <c r="C4" i="4"/>
  <c r="G58" i="3"/>
  <c r="H58" i="3" s="1"/>
  <c r="G45" i="3"/>
  <c r="H45" i="3" s="1"/>
  <c r="M40" i="3"/>
  <c r="N40" i="3" s="1"/>
  <c r="M38" i="3"/>
  <c r="N38" i="3" s="1"/>
  <c r="L58" i="3"/>
  <c r="N58" i="3" s="1"/>
  <c r="L48" i="3"/>
  <c r="L63" i="2"/>
  <c r="L47" i="3"/>
  <c r="G53" i="3"/>
  <c r="H53" i="3" s="1"/>
  <c r="M57" i="3"/>
  <c r="N57" i="3" s="1"/>
  <c r="G61" i="3"/>
  <c r="H61" i="3" s="1"/>
  <c r="G57" i="3"/>
  <c r="H57" i="3" s="1"/>
  <c r="M41" i="3"/>
  <c r="N41" i="3" s="1"/>
  <c r="L59" i="3"/>
  <c r="N59" i="3" s="1"/>
  <c r="L55" i="3"/>
  <c r="L43" i="3"/>
  <c r="M45" i="3"/>
  <c r="N45" i="3" s="1"/>
  <c r="G41" i="3"/>
  <c r="H41" i="3" s="1"/>
  <c r="M53" i="3"/>
  <c r="N53" i="3" s="1"/>
  <c r="M49" i="3"/>
  <c r="N49" i="3" s="1"/>
  <c r="M39" i="3"/>
  <c r="G59" i="3"/>
  <c r="H59" i="3" s="1"/>
  <c r="M43" i="3"/>
  <c r="M47" i="3"/>
  <c r="M55" i="3"/>
  <c r="C38" i="2" l="1"/>
  <c r="C39" i="2" s="1"/>
  <c r="D38" i="2"/>
  <c r="D39" i="2" s="1"/>
  <c r="C28" i="3"/>
  <c r="I32" i="3"/>
  <c r="I33" i="3"/>
  <c r="N39" i="3"/>
  <c r="N52" i="3"/>
  <c r="N55" i="3"/>
  <c r="N48" i="3"/>
  <c r="N43" i="3"/>
  <c r="I35" i="3"/>
  <c r="I34" i="3"/>
  <c r="I29" i="3"/>
  <c r="C32" i="3"/>
  <c r="N47" i="3"/>
  <c r="C34" i="3"/>
  <c r="C24" i="3"/>
  <c r="C25" i="3"/>
  <c r="C35" i="3"/>
  <c r="D4" i="4"/>
  <c r="I16" i="3" s="1"/>
  <c r="C27" i="3"/>
  <c r="C22" i="3"/>
  <c r="C31" i="3"/>
  <c r="C33" i="3"/>
  <c r="I31" i="3"/>
  <c r="I26" i="3"/>
  <c r="I30" i="3"/>
  <c r="I22" i="3"/>
  <c r="C26" i="3"/>
  <c r="I25" i="3"/>
  <c r="I28" i="3"/>
  <c r="C29" i="3"/>
  <c r="I27" i="3"/>
  <c r="I23" i="3"/>
  <c r="I24" i="3"/>
  <c r="C21" i="3"/>
  <c r="C23" i="3"/>
  <c r="C30" i="3"/>
  <c r="G40" i="2" l="1"/>
  <c r="K40" i="2" s="1"/>
  <c r="G41" i="2"/>
  <c r="C16" i="3"/>
  <c r="C15" i="3"/>
  <c r="I18" i="3"/>
  <c r="C18" i="3"/>
  <c r="C19" i="3"/>
  <c r="I15" i="3"/>
  <c r="I17" i="3"/>
  <c r="G38" i="2"/>
  <c r="K38" i="2" s="1"/>
  <c r="K41" i="2"/>
  <c r="I20" i="3"/>
  <c r="I19" i="3"/>
  <c r="C20" i="3"/>
  <c r="C17" i="3"/>
  <c r="G45" i="2" l="1"/>
  <c r="D3" i="3" s="1"/>
  <c r="E3" i="3" s="1"/>
  <c r="G3" i="3" s="1"/>
  <c r="H3" i="3" s="1"/>
  <c r="G30" i="1"/>
  <c r="G39" i="2"/>
  <c r="K39" i="2" s="1"/>
  <c r="G29" i="1"/>
  <c r="G42" i="2"/>
  <c r="J2" i="3" l="1"/>
  <c r="J3" i="3"/>
  <c r="J14" i="3"/>
  <c r="D13" i="3"/>
  <c r="E13" i="3" s="1"/>
  <c r="L13" i="3" s="1"/>
  <c r="D8" i="3"/>
  <c r="E8" i="3" s="1"/>
  <c r="G8" i="3" s="1"/>
  <c r="H8" i="3" s="1"/>
  <c r="D18" i="3"/>
  <c r="E18" i="3" s="1"/>
  <c r="L18" i="3" s="1"/>
  <c r="J21" i="3"/>
  <c r="D32" i="3"/>
  <c r="E32" i="3" s="1"/>
  <c r="G32" i="3" s="1"/>
  <c r="H32" i="3" s="1"/>
  <c r="D30" i="3"/>
  <c r="E30" i="3" s="1"/>
  <c r="M30" i="3" s="1"/>
  <c r="D21" i="3"/>
  <c r="E21" i="3" s="1"/>
  <c r="G21" i="3" s="1"/>
  <c r="H21" i="3" s="1"/>
  <c r="D16" i="3"/>
  <c r="E16" i="3" s="1"/>
  <c r="G16" i="3" s="1"/>
  <c r="H16" i="3" s="1"/>
  <c r="J13" i="3"/>
  <c r="J26" i="3"/>
  <c r="D12" i="3"/>
  <c r="E12" i="3" s="1"/>
  <c r="L12" i="3" s="1"/>
  <c r="J33" i="3"/>
  <c r="J20" i="3"/>
  <c r="J11" i="3"/>
  <c r="J22" i="3"/>
  <c r="D34" i="3"/>
  <c r="E34" i="3" s="1"/>
  <c r="L34" i="3" s="1"/>
  <c r="J35" i="3"/>
  <c r="D29" i="3"/>
  <c r="E29" i="3" s="1"/>
  <c r="L29" i="3" s="1"/>
  <c r="D2" i="3"/>
  <c r="E2" i="3" s="1"/>
  <c r="G2" i="3" s="1"/>
  <c r="H2" i="3" s="1"/>
  <c r="J23" i="3"/>
  <c r="J32" i="3"/>
  <c r="J29" i="3"/>
  <c r="D37" i="3"/>
  <c r="D10" i="3"/>
  <c r="E10" i="3" s="1"/>
  <c r="M10" i="3" s="1"/>
  <c r="J17" i="3"/>
  <c r="J10" i="3"/>
  <c r="J25" i="3"/>
  <c r="J6" i="3"/>
  <c r="J36" i="3"/>
  <c r="D24" i="3"/>
  <c r="E24" i="3" s="1"/>
  <c r="G24" i="3" s="1"/>
  <c r="H24" i="3" s="1"/>
  <c r="J7" i="3"/>
  <c r="J28" i="3"/>
  <c r="J30" i="3"/>
  <c r="D31" i="3"/>
  <c r="E31" i="3" s="1"/>
  <c r="M31" i="3" s="1"/>
  <c r="D27" i="3"/>
  <c r="E27" i="3" s="1"/>
  <c r="L27" i="3" s="1"/>
  <c r="J24" i="3"/>
  <c r="D33" i="3"/>
  <c r="E33" i="3" s="1"/>
  <c r="G33" i="3" s="1"/>
  <c r="H33" i="3" s="1"/>
  <c r="J15" i="3"/>
  <c r="D5" i="3"/>
  <c r="E5" i="3" s="1"/>
  <c r="G5" i="3" s="1"/>
  <c r="H5" i="3" s="1"/>
  <c r="J19" i="3"/>
  <c r="D19" i="3"/>
  <c r="E19" i="3" s="1"/>
  <c r="G19" i="3" s="1"/>
  <c r="H19" i="3" s="1"/>
  <c r="D22" i="3"/>
  <c r="E22" i="3" s="1"/>
  <c r="J4" i="3"/>
  <c r="D26" i="3"/>
  <c r="E26" i="3" s="1"/>
  <c r="M26" i="3" s="1"/>
  <c r="J16" i="3"/>
  <c r="D23" i="3"/>
  <c r="E23" i="3" s="1"/>
  <c r="L23" i="3" s="1"/>
  <c r="D25" i="3"/>
  <c r="E25" i="3" s="1"/>
  <c r="G25" i="3" s="1"/>
  <c r="H25" i="3" s="1"/>
  <c r="J8" i="3"/>
  <c r="D14" i="3"/>
  <c r="E14" i="3" s="1"/>
  <c r="G14" i="3" s="1"/>
  <c r="H14" i="3" s="1"/>
  <c r="J12" i="3"/>
  <c r="D20" i="3"/>
  <c r="E20" i="3" s="1"/>
  <c r="L20" i="3" s="1"/>
  <c r="J5" i="3"/>
  <c r="J9" i="3"/>
  <c r="J31" i="3"/>
  <c r="J37" i="3"/>
  <c r="J18" i="3"/>
  <c r="D11" i="3"/>
  <c r="E11" i="3" s="1"/>
  <c r="M11" i="3" s="1"/>
  <c r="D17" i="3"/>
  <c r="E17" i="3" s="1"/>
  <c r="G17" i="3" s="1"/>
  <c r="H17" i="3" s="1"/>
  <c r="J34" i="3"/>
  <c r="D28" i="3"/>
  <c r="E28" i="3" s="1"/>
  <c r="G28" i="3" s="1"/>
  <c r="H28" i="3" s="1"/>
  <c r="D9" i="3"/>
  <c r="E9" i="3" s="1"/>
  <c r="G9" i="3" s="1"/>
  <c r="H9" i="3" s="1"/>
  <c r="D7" i="3"/>
  <c r="E7" i="3" s="1"/>
  <c r="G7" i="3" s="1"/>
  <c r="H7" i="3" s="1"/>
  <c r="D36" i="3"/>
  <c r="E36" i="3" s="1"/>
  <c r="L36" i="3" s="1"/>
  <c r="J27" i="3"/>
  <c r="D6" i="3"/>
  <c r="E6" i="3" s="1"/>
  <c r="G6" i="3" s="1"/>
  <c r="H6" i="3" s="1"/>
  <c r="D15" i="3"/>
  <c r="E15" i="3" s="1"/>
  <c r="M15" i="3" s="1"/>
  <c r="D4" i="3"/>
  <c r="E4" i="3" s="1"/>
  <c r="G4" i="3" s="1"/>
  <c r="H4" i="3" s="1"/>
  <c r="D35" i="3"/>
  <c r="E35" i="3" s="1"/>
  <c r="M35" i="3" s="1"/>
  <c r="I42" i="2"/>
  <c r="K42" i="2" s="1"/>
  <c r="L38" i="2"/>
  <c r="G34" i="1"/>
  <c r="G33" i="1"/>
  <c r="G43" i="2"/>
  <c r="G46" i="2"/>
  <c r="L40" i="2" l="1"/>
  <c r="C26" i="2" s="1"/>
  <c r="F12" i="3"/>
  <c r="G18" i="3"/>
  <c r="H18" i="3" s="1"/>
  <c r="L14" i="3"/>
  <c r="F13" i="3"/>
  <c r="M32" i="3"/>
  <c r="F18" i="3"/>
  <c r="G29" i="3"/>
  <c r="H29" i="3" s="1"/>
  <c r="M25" i="3"/>
  <c r="G10" i="3"/>
  <c r="H10" i="3" s="1"/>
  <c r="L21" i="3"/>
  <c r="M21" i="3"/>
  <c r="F21" i="3"/>
  <c r="L16" i="3"/>
  <c r="L30" i="3"/>
  <c r="N30" i="3" s="1"/>
  <c r="L32" i="3"/>
  <c r="F29" i="3"/>
  <c r="G30" i="3"/>
  <c r="H30" i="3" s="1"/>
  <c r="G22" i="3"/>
  <c r="H22" i="3" s="1"/>
  <c r="M22" i="3"/>
  <c r="M34" i="3"/>
  <c r="N34" i="3" s="1"/>
  <c r="G13" i="3"/>
  <c r="H13" i="3" s="1"/>
  <c r="M16" i="3"/>
  <c r="F30" i="3"/>
  <c r="L22" i="3"/>
  <c r="M12" i="3"/>
  <c r="N12" i="3" s="1"/>
  <c r="M17" i="3"/>
  <c r="M18" i="3"/>
  <c r="N18" i="3" s="1"/>
  <c r="F17" i="3"/>
  <c r="M13" i="3"/>
  <c r="N13" i="3" s="1"/>
  <c r="G12" i="3"/>
  <c r="H12" i="3" s="1"/>
  <c r="M29" i="3"/>
  <c r="N29" i="3" s="1"/>
  <c r="G31" i="3"/>
  <c r="H31" i="3" s="1"/>
  <c r="F11" i="3"/>
  <c r="L31" i="3"/>
  <c r="N31" i="3" s="1"/>
  <c r="F4" i="3"/>
  <c r="F16" i="3"/>
  <c r="L15" i="3"/>
  <c r="N15" i="3" s="1"/>
  <c r="L17" i="3"/>
  <c r="F31" i="3"/>
  <c r="G15" i="3"/>
  <c r="H15" i="3" s="1"/>
  <c r="M20" i="3"/>
  <c r="N20" i="3" s="1"/>
  <c r="F27" i="3"/>
  <c r="F15" i="3"/>
  <c r="F2" i="3"/>
  <c r="F14" i="3"/>
  <c r="G20" i="3"/>
  <c r="H20" i="3" s="1"/>
  <c r="F20" i="3"/>
  <c r="F22" i="3"/>
  <c r="F10" i="3"/>
  <c r="L10" i="3"/>
  <c r="N10" i="3" s="1"/>
  <c r="G34" i="3"/>
  <c r="H34" i="3" s="1"/>
  <c r="M24" i="3"/>
  <c r="M28" i="3"/>
  <c r="M23" i="3"/>
  <c r="N23" i="3" s="1"/>
  <c r="L28" i="3"/>
  <c r="F26" i="3"/>
  <c r="G35" i="3"/>
  <c r="H35" i="3" s="1"/>
  <c r="L35" i="3"/>
  <c r="N35" i="3" s="1"/>
  <c r="G26" i="3"/>
  <c r="H26" i="3" s="1"/>
  <c r="L9" i="3"/>
  <c r="L26" i="3"/>
  <c r="N26" i="3" s="1"/>
  <c r="F32" i="3"/>
  <c r="F25" i="3"/>
  <c r="F28" i="3"/>
  <c r="M33" i="3"/>
  <c r="F8" i="3"/>
  <c r="F33" i="3"/>
  <c r="F34" i="3"/>
  <c r="F3" i="3"/>
  <c r="M9" i="3"/>
  <c r="M36" i="3"/>
  <c r="N36" i="3" s="1"/>
  <c r="G36" i="3"/>
  <c r="H36" i="3" s="1"/>
  <c r="F7" i="3"/>
  <c r="F35" i="3"/>
  <c r="G23" i="3"/>
  <c r="H23" i="3" s="1"/>
  <c r="F36" i="3"/>
  <c r="L19" i="3"/>
  <c r="L25" i="3"/>
  <c r="M27" i="3"/>
  <c r="N27" i="3" s="1"/>
  <c r="L24" i="3"/>
  <c r="F19" i="3"/>
  <c r="M19" i="3"/>
  <c r="L11" i="3"/>
  <c r="N11" i="3" s="1"/>
  <c r="G11" i="3"/>
  <c r="H11" i="3" s="1"/>
  <c r="L33" i="3"/>
  <c r="G27" i="3"/>
  <c r="H27" i="3" s="1"/>
  <c r="F23" i="3"/>
  <c r="F5" i="3"/>
  <c r="F6" i="3"/>
  <c r="F24" i="3"/>
  <c r="F9" i="3"/>
  <c r="M14" i="3"/>
  <c r="D52" i="3"/>
  <c r="K56" i="3"/>
  <c r="K60" i="3"/>
  <c r="K51" i="3"/>
  <c r="D47" i="3"/>
  <c r="D54" i="3"/>
  <c r="D48" i="3"/>
  <c r="D49" i="3"/>
  <c r="K53" i="3"/>
  <c r="D55" i="3"/>
  <c r="D60" i="3"/>
  <c r="D50" i="3"/>
  <c r="K49" i="3"/>
  <c r="K55" i="3"/>
  <c r="D59" i="3"/>
  <c r="D61" i="3"/>
  <c r="K50" i="3"/>
  <c r="K59" i="3"/>
  <c r="K54" i="3"/>
  <c r="K61" i="3"/>
  <c r="K57" i="3"/>
  <c r="K47" i="3"/>
  <c r="D53" i="3"/>
  <c r="D56" i="3"/>
  <c r="D57" i="3"/>
  <c r="D51" i="3"/>
  <c r="K48" i="3"/>
  <c r="D58" i="3"/>
  <c r="K52" i="3"/>
  <c r="K58" i="3"/>
  <c r="G31" i="1"/>
  <c r="N14" i="3" l="1"/>
  <c r="N21" i="3"/>
  <c r="N32" i="3"/>
  <c r="N16" i="3"/>
  <c r="N25" i="3"/>
  <c r="N24" i="3"/>
  <c r="N22" i="3"/>
  <c r="N17" i="3"/>
  <c r="N9" i="3"/>
  <c r="N33" i="3"/>
  <c r="N28" i="3"/>
  <c r="F64" i="3"/>
  <c r="N19" i="3"/>
  <c r="H33" i="1"/>
  <c r="H29" i="1"/>
  <c r="C28" i="2" l="1"/>
  <c r="C29" i="1"/>
  <c r="C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 Hein</author>
  </authors>
  <commentList>
    <comment ref="E6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Matt Hein:</t>
        </r>
        <r>
          <rPr>
            <sz val="9"/>
            <color indexed="81"/>
            <rFont val="Tahoma"/>
            <family val="2"/>
          </rPr>
          <t xml:space="preserve">
A.B.C
A = Major change to core calculations. Must upgrade 'in progress' projects to latest version.
B = Moderate change (e.g. features added). Do not need to upgrade but is a good idea.
C = Minor change that does not impact results. (e.g. esthetics). No upgrade required.</t>
        </r>
      </text>
    </comment>
  </commentList>
</comments>
</file>

<file path=xl/sharedStrings.xml><?xml version="1.0" encoding="utf-8"?>
<sst xmlns="http://schemas.openxmlformats.org/spreadsheetml/2006/main" count="278" uniqueCount="174">
  <si>
    <t>INSTRUCTIONS</t>
  </si>
  <si>
    <t>CFU Energy Services will accept the results of the following simple sizing review as an alternative to a CFU-approved HVAC sizing for residential gas furnaces and air conditioner rebates.</t>
  </si>
  <si>
    <t>Enter the following information (in yellow highlighted area) to see if the equipment can be simply approved for a rebate.</t>
  </si>
  <si>
    <t>INPUT</t>
  </si>
  <si>
    <t>Year Built</t>
  </si>
  <si>
    <t>&lt;-- Blackhawk County Assessor Website</t>
  </si>
  <si>
    <t>&lt;-- Your HVAC Sizing</t>
  </si>
  <si>
    <t>RESULT</t>
  </si>
  <si>
    <t>Air Conditioner:</t>
  </si>
  <si>
    <t>IMPORTANT</t>
  </si>
  <si>
    <r>
      <t xml:space="preserve">This spreadsheet tool is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an HVAC Sizing and</t>
    </r>
    <r>
      <rPr>
        <u/>
        <sz val="11"/>
        <color theme="1"/>
        <rFont val="Calibri"/>
        <family val="2"/>
        <scheme val="minor"/>
      </rPr>
      <t xml:space="preserve"> cannot</t>
    </r>
    <r>
      <rPr>
        <sz val="11"/>
        <color theme="1"/>
        <rFont val="Calibri"/>
        <family val="2"/>
        <scheme val="minor"/>
      </rPr>
      <t xml:space="preserve"> be used as an alternative to code-required HVAC Sizing. (IRC M1401.3)</t>
    </r>
  </si>
  <si>
    <t>Enter the following information to see if the equipment can be simply approved for a rebate.</t>
  </si>
  <si>
    <t>Total Living Area (sqft)</t>
  </si>
  <si>
    <t>Heat Pump</t>
  </si>
  <si>
    <t>AC</t>
  </si>
  <si>
    <t>Furnace</t>
  </si>
  <si>
    <t>Sizing Factor</t>
  </si>
  <si>
    <t>Calculated Size</t>
  </si>
  <si>
    <t>Selected Year Built Bin</t>
  </si>
  <si>
    <t>area</t>
  </si>
  <si>
    <t xml:space="preserve">age </t>
  </si>
  <si>
    <t>Furnace sizing factors (BTU/SF) - Conditioned area method</t>
  </si>
  <si>
    <t>CHANGE LOG</t>
  </si>
  <si>
    <t>Date</t>
  </si>
  <si>
    <t>By</t>
  </si>
  <si>
    <t>Version</t>
  </si>
  <si>
    <t>Created v1 draft</t>
  </si>
  <si>
    <t>MRH</t>
  </si>
  <si>
    <t>1.0.0</t>
  </si>
  <si>
    <t>Updated to exclude some bins because of low sample size</t>
  </si>
  <si>
    <t>1.1.0</t>
  </si>
  <si>
    <t>Google Sheets blows through protection so need to make it harder to edit by moving things to 2nd sheet</t>
  </si>
  <si>
    <t>2.1.0</t>
  </si>
  <si>
    <t>Error found. Sizing factors were referencing the square-footage and not the age for lookup function.</t>
  </si>
  <si>
    <t>3.0.0</t>
  </si>
  <si>
    <t>Added values for conditioned area</t>
  </si>
  <si>
    <t>SV</t>
  </si>
  <si>
    <t>4.0.0</t>
  </si>
  <si>
    <t>&lt;-- Is it a heatpump?</t>
  </si>
  <si>
    <t>JK</t>
  </si>
  <si>
    <t>6.0.0</t>
  </si>
  <si>
    <t>Added a heat pump selection option. If heatpump is used  the cooling size that is accepeted increases by 0.5 tons
https://up.codes/s/sizing-limits-for-ahri-certified-heat-pump-equipment</t>
  </si>
  <si>
    <t>&lt;-- Inverter technology?</t>
  </si>
  <si>
    <t>Version: 6.3.0</t>
  </si>
  <si>
    <t>Inverter option. If inverter size in 1 ton increments</t>
  </si>
  <si>
    <t>6.3.0</t>
  </si>
  <si>
    <t xml:space="preserve">Technology inputs </t>
  </si>
  <si>
    <t>Building input characteristics</t>
  </si>
  <si>
    <t xml:space="preserve">Manual S sizing </t>
  </si>
  <si>
    <t xml:space="preserve">Heating Sensible (btu/hr) </t>
  </si>
  <si>
    <t>Cooling Sensible (btu/hr)</t>
  </si>
  <si>
    <t>Latent Sensible (btu/hr)</t>
  </si>
  <si>
    <t>Installed capacity</t>
  </si>
  <si>
    <t>Technology type</t>
  </si>
  <si>
    <t>Single speed</t>
  </si>
  <si>
    <t>Two speed</t>
  </si>
  <si>
    <t>Variable speed (Inverter driven)</t>
  </si>
  <si>
    <t>Manual J loads</t>
  </si>
  <si>
    <t>Latent cooling</t>
  </si>
  <si>
    <t>Sensible cooling</t>
  </si>
  <si>
    <t xml:space="preserve">Heating </t>
  </si>
  <si>
    <t>Manual S sizing 
(lower limit)</t>
  </si>
  <si>
    <t>Manual S sizing 
(Upper limit)</t>
  </si>
  <si>
    <t>Total cooling load</t>
  </si>
  <si>
    <t>Sizing blocks  
acceptable ?</t>
  </si>
  <si>
    <t>Heat pump details</t>
  </si>
  <si>
    <t>&lt;-- Your HVAC Sizing (heating)</t>
  </si>
  <si>
    <t>&lt;-- Your HVAC Sizing (cooling sensible)</t>
  </si>
  <si>
    <t>&lt;-- Your HVAC Sizing (latent cooling)</t>
  </si>
  <si>
    <t>Heating capacity (btu/hr) at 47F</t>
  </si>
  <si>
    <t>Heating capacity (btu/hr) at 17F</t>
  </si>
  <si>
    <t>Heat pump/Gas Furnace:</t>
  </si>
  <si>
    <t>Temp</t>
  </si>
  <si>
    <t xml:space="preserve">Building load </t>
  </si>
  <si>
    <t>OAT (F)</t>
  </si>
  <si>
    <t>Capacity</t>
  </si>
  <si>
    <t xml:space="preserve">Slope </t>
  </si>
  <si>
    <t>Intercept</t>
  </si>
  <si>
    <t>Nominal heating capacity</t>
  </si>
  <si>
    <t>OAT</t>
  </si>
  <si>
    <t>hours</t>
  </si>
  <si>
    <t xml:space="preserve"> heating capacity (ASHP)</t>
  </si>
  <si>
    <t>Building heating load</t>
  </si>
  <si>
    <t>Building  load</t>
  </si>
  <si>
    <t xml:space="preserve">Building heating load </t>
  </si>
  <si>
    <t xml:space="preserve">Building cooling load </t>
  </si>
  <si>
    <t>Building cooling load</t>
  </si>
  <si>
    <t>Supp heat  required</t>
  </si>
  <si>
    <t>Switchover temp</t>
  </si>
  <si>
    <t>Supp heat  required (hours)</t>
  </si>
  <si>
    <t xml:space="preserve">Supp heat Resistance heating  (kW) </t>
  </si>
  <si>
    <t>Supp L2</t>
  </si>
  <si>
    <t>Supp heating required</t>
  </si>
  <si>
    <t xml:space="preserve">Heat pump heating capacity </t>
  </si>
  <si>
    <t>Sizing
 acceptable ?</t>
  </si>
  <si>
    <t>&lt;--  Technology type?</t>
  </si>
  <si>
    <t>Compressor technology?</t>
  </si>
  <si>
    <t>&lt;--Heating capacity at 47F</t>
  </si>
  <si>
    <t>Heating size factor</t>
  </si>
  <si>
    <t>Min compressor heating size factor</t>
  </si>
  <si>
    <t xml:space="preserve"> Approved </t>
  </si>
  <si>
    <t>Overall approved ?</t>
  </si>
  <si>
    <t>Min compressor 
heating size factor</t>
  </si>
  <si>
    <t>Heating capacity (btu/hr) at 5F</t>
  </si>
  <si>
    <t>Heat Pump (cold-climate designated)</t>
  </si>
  <si>
    <t>&lt;--Heating capacity at 17F (calculated M1)</t>
  </si>
  <si>
    <t>&lt;--Heating capacity at 5F (calculated M1)</t>
  </si>
  <si>
    <t>These details can be found in the AHRI database</t>
  </si>
  <si>
    <t>&lt;-- Heating capacity at 17F (source AHRI data)</t>
  </si>
  <si>
    <t>&lt;-- Heating capacity at 47F (source AHRI data)</t>
  </si>
  <si>
    <t>HP [Heating capacity (btu/hr) at 47F]</t>
  </si>
  <si>
    <t>Customer Address:</t>
  </si>
  <si>
    <t>Resistance heating size (KW)</t>
  </si>
  <si>
    <t>Equivalent BTU/hr</t>
  </si>
  <si>
    <t xml:space="preserve">Conversion tool </t>
  </si>
  <si>
    <t>AC sizing factors (BTU/SF) - Conditioned area method</t>
  </si>
  <si>
    <t>&lt;--Total Living Area from Blackhawk County</t>
  </si>
  <si>
    <t>&lt;-- Heating capacity at 5F (source AHRI data)</t>
  </si>
  <si>
    <t>HP [Heating capacity (btu/hr) at 5F] (optional)</t>
  </si>
  <si>
    <t>HP [Heating capacity (btu/hr) at 17F]</t>
  </si>
  <si>
    <t xml:space="preserve"> </t>
  </si>
  <si>
    <t>Locked some of the green cells on the main sheet and added "above grade" to a few input cells to make more clear what is asked. Also discussed changing calc method to simpler Manual J = BHC Area * (Btu/sqft) because basement does not substaintially change load calcs and gets "built in" when wrightsoft data is used</t>
  </si>
  <si>
    <t>1304 oak park</t>
  </si>
  <si>
    <t>Total Gross Living Area - Blackhawk County (sqft)</t>
  </si>
  <si>
    <t>0-800</t>
  </si>
  <si>
    <t>800-1200</t>
  </si>
  <si>
    <t>1200-1800</t>
  </si>
  <si>
    <t>1800-2500</t>
  </si>
  <si>
    <t>2500-10000</t>
  </si>
  <si>
    <t xml:space="preserve">Data check </t>
  </si>
  <si>
    <t xml:space="preserve">year </t>
  </si>
  <si>
    <t xml:space="preserve">area </t>
  </si>
  <si>
    <t xml:space="preserve">sizing factor (AC) </t>
  </si>
  <si>
    <t>sizing factor (Furnace)</t>
  </si>
  <si>
    <t>ID</t>
  </si>
  <si>
    <t>column</t>
  </si>
  <si>
    <t>Manual J</t>
  </si>
  <si>
    <t xml:space="preserve">Cooling load </t>
  </si>
  <si>
    <t>Heating load</t>
  </si>
  <si>
    <t>Cooling size min</t>
  </si>
  <si>
    <t>Manual S</t>
  </si>
  <si>
    <t>Heating size min</t>
  </si>
  <si>
    <t>Heating size max</t>
  </si>
  <si>
    <t>For inverter driven AC/Furnace with inverter</t>
  </si>
  <si>
    <t xml:space="preserve">New method </t>
  </si>
  <si>
    <t xml:space="preserve">Old method </t>
  </si>
  <si>
    <t>Furnace sizing factors (BTU/SF) -Blackhawk county method</t>
  </si>
  <si>
    <t>0-799</t>
  </si>
  <si>
    <t>800-1199</t>
  </si>
  <si>
    <t>1200-1799</t>
  </si>
  <si>
    <t>1800-2499</t>
  </si>
  <si>
    <t>2500-4000</t>
  </si>
  <si>
    <t>AC sizing factors (sqft/ton) - Blackhawk county method</t>
  </si>
  <si>
    <t>NEW  METHOD</t>
  </si>
  <si>
    <t>Data check</t>
  </si>
  <si>
    <t>OLD METHOD</t>
  </si>
  <si>
    <t>DIFFERENCE (NEW- OLD)</t>
  </si>
  <si>
    <t>Cooling size 
diff (max)</t>
  </si>
  <si>
    <t xml:space="preserve">Heating size 
diff (max) </t>
  </si>
  <si>
    <t>tons</t>
  </si>
  <si>
    <t>BTU/hr</t>
  </si>
  <si>
    <t>Manual changes to the factors</t>
  </si>
  <si>
    <t>&lt;--Year Built from Blackhawk County</t>
  </si>
  <si>
    <t>&lt;--Total Gross Living Area from Blackhawk County</t>
  </si>
  <si>
    <t>Yes</t>
  </si>
  <si>
    <t xml:space="preserve">Manual S insight (click to open) </t>
  </si>
  <si>
    <t>Planned installation size (Manual S size)</t>
  </si>
  <si>
    <t>23560 State st</t>
  </si>
  <si>
    <t>Yellow = required field</t>
  </si>
  <si>
    <t>Sizing approved for rebate.</t>
  </si>
  <si>
    <t>Sizing NOT approved for CFU rebate. Send your HVAC sizing to CFU Energy Servies for review. energyservices@cfunet.net</t>
  </si>
  <si>
    <t>YES</t>
  </si>
  <si>
    <t>CAUTION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</si>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</sst>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5595"/>
      <name val="Calibri"/>
      <family val="2"/>
    </font>
    <font>
      <u/>
      <sz val="11"/>
      <color theme="1"/>
      <name val="Calibri"/>
      <family val="2"/>
      <scheme val="minor"/>
    </font>
    <font>
      <sz val="10"/>
      <color rgb="FF6A666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D91F26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6A6665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5595"/>
      <name val="Calibri"/>
      <family val="2"/>
    </font>
    <font>
      <sz val="14"/>
      <color rgb="FF59595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5595"/>
      <name val="Calibri"/>
      <family val="2"/>
    </font>
    <font>
      <sz val="12"/>
      <color theme="1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FC9"/>
        <bgColor indexed="64"/>
      </patternFill>
    </fill>
    <fill>
      <patternFill patternType="solid">
        <fgColor rgb="FF00A8E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rgb="FF6A6665"/>
      </left>
      <right style="thin">
        <color rgb="FF6A6665"/>
      </right>
      <top style="thin">
        <color rgb="FF6A6665"/>
      </top>
      <bottom style="thin">
        <color rgb="FF6A66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A6665"/>
      </left>
      <right/>
      <top style="thin">
        <color rgb="FF6A6665"/>
      </top>
      <bottom style="thin">
        <color rgb="FF6A6665"/>
      </bottom>
      <diagonal/>
    </border>
    <border>
      <left style="thin">
        <color rgb="FF6A6665"/>
      </left>
      <right style="thin">
        <color rgb="FF6A6665"/>
      </right>
      <top style="thin">
        <color rgb="FF6A6665"/>
      </top>
      <bottom/>
      <diagonal/>
    </border>
    <border>
      <left style="thin">
        <color rgb="FF6A6665"/>
      </left>
      <right style="thin">
        <color rgb="FF6A6665"/>
      </right>
      <top/>
      <bottom style="thin">
        <color rgb="FF6A666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51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/>
    <xf numFmtId="0" fontId="5" fillId="2" borderId="0" xfId="0" applyFont="1" applyFill="1"/>
    <xf numFmtId="0" fontId="9" fillId="2" borderId="0" xfId="0" applyFont="1" applyFill="1" applyAlignment="1">
      <alignment wrapText="1"/>
    </xf>
    <xf numFmtId="0" fontId="0" fillId="2" borderId="0" xfId="0" applyFill="1" applyProtection="1"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4" fillId="2" borderId="0" xfId="0" applyFont="1" applyFill="1" applyProtection="1">
      <protection hidden="1"/>
    </xf>
    <xf numFmtId="0" fontId="5" fillId="2" borderId="3" xfId="0" applyFont="1" applyFill="1" applyBorder="1" applyAlignment="1" applyProtection="1">
      <alignment vertical="center"/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0" fillId="2" borderId="2" xfId="0" applyFill="1" applyBorder="1" applyProtection="1">
      <protection hidden="1"/>
    </xf>
    <xf numFmtId="0" fontId="1" fillId="2" borderId="0" xfId="0" applyFont="1" applyFill="1" applyProtection="1">
      <protection hidden="1"/>
    </xf>
    <xf numFmtId="0" fontId="9" fillId="2" borderId="0" xfId="0" applyFont="1" applyFill="1" applyAlignment="1" applyProtection="1">
      <alignment wrapText="1"/>
      <protection hidden="1"/>
    </xf>
    <xf numFmtId="0" fontId="4" fillId="2" borderId="0" xfId="0" applyFont="1" applyFill="1" applyProtection="1">
      <protection locked="0"/>
    </xf>
    <xf numFmtId="0" fontId="13" fillId="2" borderId="0" xfId="0" applyFont="1" applyFill="1"/>
    <xf numFmtId="0" fontId="0" fillId="0" borderId="0" xfId="0" applyProtection="1">
      <protection hidden="1"/>
    </xf>
    <xf numFmtId="3" fontId="5" fillId="0" borderId="1" xfId="0" applyNumberFormat="1" applyFont="1" applyBorder="1" applyAlignment="1" applyProtection="1">
      <alignment horizontal="right"/>
      <protection hidden="1"/>
    </xf>
    <xf numFmtId="0" fontId="5" fillId="0" borderId="4" xfId="0" applyFont="1" applyBorder="1" applyProtection="1">
      <protection hidden="1"/>
    </xf>
    <xf numFmtId="0" fontId="5" fillId="0" borderId="2" xfId="0" applyFont="1" applyBorder="1" applyProtection="1">
      <protection hidden="1"/>
    </xf>
    <xf numFmtId="0" fontId="5" fillId="0" borderId="0" xfId="0" applyFont="1" applyProtection="1">
      <protection hidden="1"/>
    </xf>
    <xf numFmtId="3" fontId="5" fillId="0" borderId="0" xfId="0" applyNumberFormat="1" applyFont="1" applyAlignment="1" applyProtection="1">
      <alignment horizontal="right"/>
      <protection hidden="1"/>
    </xf>
    <xf numFmtId="0" fontId="5" fillId="2" borderId="3" xfId="0" applyFont="1" applyFill="1" applyBorder="1"/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vertical="top"/>
    </xf>
    <xf numFmtId="0" fontId="15" fillId="2" borderId="0" xfId="0" applyFont="1" applyFill="1"/>
    <xf numFmtId="3" fontId="5" fillId="0" borderId="0" xfId="0" applyNumberFormat="1" applyFont="1" applyAlignment="1" applyProtection="1">
      <alignment horizontal="right"/>
      <protection locked="0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41" fontId="0" fillId="2" borderId="0" xfId="0" applyNumberFormat="1" applyFill="1" applyProtection="1">
      <protection hidden="1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hidden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5" fillId="2" borderId="2" xfId="0" applyFont="1" applyFill="1" applyBorder="1"/>
    <xf numFmtId="2" fontId="0" fillId="2" borderId="0" xfId="0" applyNumberFormat="1" applyFill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0" fillId="0" borderId="0" xfId="0" applyNumberFormat="1"/>
    <xf numFmtId="3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0" fontId="16" fillId="0" borderId="0" xfId="0" applyFont="1" applyAlignment="1">
      <alignment horizontal="left" vertical="center" readingOrder="1"/>
    </xf>
    <xf numFmtId="0" fontId="17" fillId="2" borderId="0" xfId="0" applyFont="1" applyFill="1"/>
    <xf numFmtId="0" fontId="18" fillId="2" borderId="0" xfId="0" applyFont="1" applyFill="1"/>
    <xf numFmtId="3" fontId="0" fillId="2" borderId="2" xfId="0" applyNumberFormat="1" applyFill="1" applyBorder="1" applyAlignment="1" applyProtection="1">
      <alignment horizontal="center"/>
      <protection hidden="1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/>
    <xf numFmtId="0" fontId="5" fillId="2" borderId="4" xfId="0" applyFont="1" applyFill="1" applyBorder="1" applyProtection="1">
      <protection hidden="1"/>
    </xf>
    <xf numFmtId="1" fontId="5" fillId="0" borderId="4" xfId="0" applyNumberFormat="1" applyFont="1" applyBorder="1" applyAlignment="1" applyProtection="1">
      <alignment horizontal="right"/>
      <protection hidden="1"/>
    </xf>
    <xf numFmtId="0" fontId="5" fillId="2" borderId="2" xfId="0" applyFont="1" applyFill="1" applyBorder="1" applyProtection="1">
      <protection hidden="1"/>
    </xf>
    <xf numFmtId="1" fontId="5" fillId="0" borderId="2" xfId="0" applyNumberFormat="1" applyFont="1" applyBorder="1" applyAlignment="1" applyProtection="1">
      <alignment horizontal="right"/>
      <protection hidden="1"/>
    </xf>
    <xf numFmtId="41" fontId="0" fillId="2" borderId="2" xfId="0" applyNumberFormat="1" applyFill="1" applyBorder="1" applyAlignment="1">
      <alignment horizontal="left"/>
    </xf>
    <xf numFmtId="164" fontId="0" fillId="2" borderId="2" xfId="0" applyNumberFormat="1" applyFill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3" fontId="5" fillId="3" borderId="18" xfId="0" applyNumberFormat="1" applyFont="1" applyFill="1" applyBorder="1" applyAlignment="1" applyProtection="1">
      <alignment horizontal="center"/>
      <protection locked="0"/>
    </xf>
    <xf numFmtId="1" fontId="0" fillId="6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9" fillId="2" borderId="0" xfId="0" applyNumberFormat="1" applyFont="1" applyFill="1" applyAlignment="1" applyProtection="1">
      <alignment horizontal="center" wrapText="1"/>
      <protection hidden="1"/>
    </xf>
    <xf numFmtId="0" fontId="10" fillId="2" borderId="0" xfId="0" applyFont="1" applyFill="1" applyAlignment="1" applyProtection="1">
      <alignment horizontal="center" wrapText="1"/>
      <protection hidden="1"/>
    </xf>
    <xf numFmtId="0" fontId="10" fillId="2" borderId="0" xfId="0" applyFont="1" applyFill="1" applyAlignment="1">
      <alignment horizontal="center" wrapText="1"/>
    </xf>
    <xf numFmtId="0" fontId="9" fillId="2" borderId="0" xfId="0" applyFont="1" applyFill="1" applyAlignment="1" applyProtection="1">
      <alignment horizontal="center" wrapText="1"/>
      <protection hidden="1"/>
    </xf>
    <xf numFmtId="14" fontId="9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7" fillId="4" borderId="0" xfId="0" applyFont="1" applyFill="1" applyAlignment="1" applyProtection="1">
      <alignment horizontal="center"/>
      <protection hidden="1"/>
    </xf>
    <xf numFmtId="0" fontId="8" fillId="4" borderId="0" xfId="0" applyFont="1" applyFill="1" applyAlignment="1" applyProtection="1">
      <alignment horizontal="center"/>
      <protection hidden="1"/>
    </xf>
    <xf numFmtId="0" fontId="8" fillId="4" borderId="0" xfId="0" applyFont="1" applyFill="1" applyAlignment="1">
      <alignment horizontal="center"/>
    </xf>
    <xf numFmtId="0" fontId="0" fillId="2" borderId="28" xfId="0" applyFill="1" applyBorder="1" applyAlignment="1">
      <alignment horizontal="center"/>
    </xf>
    <xf numFmtId="2" fontId="0" fillId="2" borderId="29" xfId="0" applyNumberForma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164" fontId="0" fillId="2" borderId="36" xfId="0" applyNumberFormat="1" applyFill="1" applyBorder="1" applyAlignment="1">
      <alignment horizontal="center"/>
    </xf>
    <xf numFmtId="2" fontId="0" fillId="2" borderId="37" xfId="0" applyNumberFormat="1" applyFill="1" applyBorder="1" applyAlignment="1">
      <alignment horizontal="center"/>
    </xf>
    <xf numFmtId="1" fontId="0" fillId="2" borderId="29" xfId="0" applyNumberFormat="1" applyFill="1" applyBorder="1" applyAlignment="1">
      <alignment horizontal="center"/>
    </xf>
    <xf numFmtId="1" fontId="0" fillId="2" borderId="37" xfId="0" applyNumberForma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164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 applyAlignment="1">
      <alignment horizontal="center"/>
    </xf>
    <xf numFmtId="1" fontId="0" fillId="2" borderId="40" xfId="0" applyNumberFormat="1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164" fontId="0" fillId="2" borderId="42" xfId="0" applyNumberFormat="1" applyFill="1" applyBorder="1" applyAlignment="1">
      <alignment horizontal="center"/>
    </xf>
    <xf numFmtId="2" fontId="0" fillId="2" borderId="43" xfId="0" applyNumberFormat="1" applyFill="1" applyBorder="1" applyAlignment="1">
      <alignment horizontal="center"/>
    </xf>
    <xf numFmtId="1" fontId="0" fillId="2" borderId="43" xfId="0" applyNumberFormat="1" applyFill="1" applyBorder="1" applyAlignment="1">
      <alignment horizontal="center"/>
    </xf>
    <xf numFmtId="164" fontId="0" fillId="2" borderId="38" xfId="0" applyNumberFormat="1" applyFill="1" applyBorder="1" applyAlignment="1">
      <alignment horizontal="center"/>
    </xf>
    <xf numFmtId="164" fontId="0" fillId="2" borderId="28" xfId="0" applyNumberFormat="1" applyFill="1" applyBorder="1" applyAlignment="1">
      <alignment horizontal="center"/>
    </xf>
    <xf numFmtId="164" fontId="0" fillId="2" borderId="41" xfId="0" applyNumberFormat="1" applyFill="1" applyBorder="1" applyAlignment="1">
      <alignment horizontal="center"/>
    </xf>
    <xf numFmtId="164" fontId="0" fillId="2" borderId="35" xfId="0" applyNumberFormat="1" applyFill="1" applyBorder="1" applyAlignment="1">
      <alignment horizontal="center"/>
    </xf>
    <xf numFmtId="0" fontId="0" fillId="7" borderId="0" xfId="0" applyFill="1"/>
    <xf numFmtId="0" fontId="0" fillId="7" borderId="28" xfId="0" applyFill="1" applyBorder="1" applyAlignment="1">
      <alignment horizontal="center"/>
    </xf>
    <xf numFmtId="2" fontId="0" fillId="7" borderId="29" xfId="0" applyNumberFormat="1" applyFill="1" applyBorder="1" applyAlignment="1">
      <alignment horizontal="center"/>
    </xf>
    <xf numFmtId="1" fontId="0" fillId="7" borderId="29" xfId="0" applyNumberFormat="1" applyFill="1" applyBorder="1" applyAlignment="1">
      <alignment horizontal="center"/>
    </xf>
    <xf numFmtId="164" fontId="0" fillId="7" borderId="28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1" fontId="0" fillId="2" borderId="39" xfId="0" applyNumberFormat="1" applyFill="1" applyBorder="1" applyAlignment="1">
      <alignment horizontal="center"/>
    </xf>
    <xf numFmtId="1" fontId="0" fillId="2" borderId="42" xfId="0" applyNumberForma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0" fontId="0" fillId="8" borderId="2" xfId="0" applyFill="1" applyBorder="1" applyAlignment="1" applyProtection="1">
      <alignment horizontal="center"/>
      <protection hidden="1"/>
    </xf>
    <xf numFmtId="0" fontId="0" fillId="8" borderId="2" xfId="0" applyFill="1" applyBorder="1" applyAlignment="1">
      <alignment horizontal="center"/>
    </xf>
    <xf numFmtId="1" fontId="0" fillId="8" borderId="2" xfId="0" applyNumberFormat="1" applyFill="1" applyBorder="1" applyAlignment="1" applyProtection="1">
      <alignment horizontal="center"/>
      <protection hidden="1"/>
    </xf>
    <xf numFmtId="1" fontId="0" fillId="2" borderId="2" xfId="0" applyNumberFormat="1" applyFill="1" applyBorder="1" applyAlignment="1">
      <alignment horizontal="center"/>
    </xf>
    <xf numFmtId="1" fontId="0" fillId="8" borderId="2" xfId="0" applyNumberForma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7" borderId="0" xfId="0" applyNumberFormat="1" applyFill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" fontId="0" fillId="2" borderId="23" xfId="0" applyNumberFormat="1" applyFill="1" applyBorder="1" applyAlignment="1">
      <alignment horizontal="center"/>
    </xf>
    <xf numFmtId="164" fontId="0" fillId="2" borderId="21" xfId="0" applyNumberFormat="1" applyFill="1" applyBorder="1"/>
    <xf numFmtId="164" fontId="0" fillId="2" borderId="22" xfId="0" applyNumberFormat="1" applyFill="1" applyBorder="1"/>
    <xf numFmtId="0" fontId="0" fillId="2" borderId="22" xfId="0" applyFill="1" applyBorder="1"/>
    <xf numFmtId="0" fontId="0" fillId="2" borderId="23" xfId="0" applyFill="1" applyBorder="1"/>
    <xf numFmtId="0" fontId="0" fillId="7" borderId="0" xfId="0" applyFill="1" applyAlignment="1">
      <alignment horizontal="center"/>
    </xf>
    <xf numFmtId="164" fontId="0" fillId="7" borderId="0" xfId="0" applyNumberFormat="1" applyFill="1" applyAlignment="1">
      <alignment horizontal="center"/>
    </xf>
    <xf numFmtId="1" fontId="0" fillId="2" borderId="22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9" borderId="39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42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2" xfId="0" applyBorder="1" applyAlignment="1">
      <alignment horizontal="center"/>
    </xf>
    <xf numFmtId="1" fontId="0" fillId="9" borderId="38" xfId="0" applyNumberFormat="1" applyFill="1" applyBorder="1" applyAlignment="1">
      <alignment horizontal="center"/>
    </xf>
    <xf numFmtId="0" fontId="0" fillId="9" borderId="40" xfId="0" applyFill="1" applyBorder="1" applyAlignment="1">
      <alignment horizontal="center"/>
    </xf>
    <xf numFmtId="1" fontId="0" fillId="9" borderId="28" xfId="0" applyNumberFormat="1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1" fontId="0" fillId="9" borderId="41" xfId="0" applyNumberFormat="1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" fontId="0" fillId="0" borderId="4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35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164" fontId="0" fillId="0" borderId="0" xfId="0" applyNumberFormat="1"/>
    <xf numFmtId="164" fontId="0" fillId="0" borderId="28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/>
    <xf numFmtId="0" fontId="19" fillId="2" borderId="0" xfId="1" applyFill="1" applyProtection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20" fillId="0" borderId="0" xfId="0" applyFont="1"/>
    <xf numFmtId="0" fontId="15" fillId="0" borderId="0" xfId="0" applyFont="1"/>
    <xf numFmtId="0" fontId="5" fillId="2" borderId="17" xfId="0" applyFont="1" applyFill="1" applyBorder="1"/>
    <xf numFmtId="0" fontId="5" fillId="2" borderId="19" xfId="0" applyFont="1" applyFill="1" applyBorder="1"/>
    <xf numFmtId="3" fontId="5" fillId="5" borderId="2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top"/>
    </xf>
    <xf numFmtId="14" fontId="9" fillId="2" borderId="0" xfId="0" applyNumberFormat="1" applyFont="1" applyFill="1" applyAlignment="1">
      <alignment horizontal="left" wrapText="1"/>
    </xf>
    <xf numFmtId="0" fontId="10" fillId="2" borderId="0" xfId="0" applyFont="1" applyFill="1" applyAlignment="1">
      <alignment wrapText="1"/>
    </xf>
    <xf numFmtId="14" fontId="9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" fontId="5" fillId="3" borderId="4" xfId="0" applyNumberFormat="1" applyFont="1" applyFill="1" applyBorder="1" applyAlignment="1" applyProtection="1">
      <alignment horizontal="center"/>
      <protection locked="0"/>
    </xf>
    <xf numFmtId="3" fontId="5" fillId="3" borderId="2" xfId="0" applyNumberFormat="1" applyFont="1" applyFill="1" applyBorder="1" applyAlignment="1" applyProtection="1">
      <alignment horizontal="center"/>
      <protection locked="0"/>
    </xf>
    <xf numFmtId="3" fontId="5" fillId="3" borderId="4" xfId="0" applyNumberFormat="1" applyFont="1" applyFill="1" applyBorder="1" applyAlignment="1" applyProtection="1">
      <alignment horizontal="center"/>
      <protection locked="0" hidden="1"/>
    </xf>
    <xf numFmtId="3" fontId="5" fillId="3" borderId="2" xfId="0" applyNumberFormat="1" applyFont="1" applyFill="1" applyBorder="1" applyAlignment="1" applyProtection="1">
      <alignment horizontal="center"/>
      <protection locked="0" hidden="1"/>
    </xf>
    <xf numFmtId="3" fontId="5" fillId="0" borderId="0" xfId="0" applyNumberFormat="1" applyFont="1" applyAlignment="1" applyProtection="1">
      <alignment horizontal="center"/>
      <protection hidden="1"/>
    </xf>
    <xf numFmtId="0" fontId="15" fillId="2" borderId="0" xfId="0" applyFont="1" applyFill="1" applyAlignment="1">
      <alignment horizontal="center"/>
    </xf>
    <xf numFmtId="3" fontId="5" fillId="3" borderId="5" xfId="0" applyNumberFormat="1" applyFont="1" applyFill="1" applyBorder="1" applyAlignment="1" applyProtection="1">
      <alignment horizontal="center"/>
      <protection locked="0"/>
    </xf>
    <xf numFmtId="0" fontId="23" fillId="2" borderId="24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19" fillId="2" borderId="0" xfId="1" applyFill="1" applyBorder="1"/>
    <xf numFmtId="0" fontId="0" fillId="2" borderId="0" xfId="0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5" fillId="2" borderId="29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6" fillId="2" borderId="0" xfId="0" applyFont="1" applyFill="1"/>
    <xf numFmtId="0" fontId="27" fillId="2" borderId="0" xfId="1" applyFont="1" applyFill="1" applyProtection="1"/>
    <xf numFmtId="0" fontId="5" fillId="0" borderId="0" xfId="0" applyFont="1" applyAlignment="1" applyProtection="1">
      <alignment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19" fillId="2" borderId="0" xfId="1" applyFill="1" applyBorder="1" applyAlignment="1">
      <alignment horizontal="center" vertical="center" wrapText="1"/>
    </xf>
    <xf numFmtId="0" fontId="24" fillId="2" borderId="21" xfId="1" applyFont="1" applyFill="1" applyBorder="1" applyAlignment="1" applyProtection="1">
      <alignment horizontal="center" vertical="center" wrapText="1"/>
    </xf>
    <xf numFmtId="0" fontId="24" fillId="2" borderId="22" xfId="1" applyFont="1" applyFill="1" applyBorder="1" applyAlignment="1" applyProtection="1">
      <alignment horizontal="center" vertical="center" wrapText="1"/>
    </xf>
    <xf numFmtId="0" fontId="24" fillId="2" borderId="23" xfId="1" applyFont="1" applyFill="1" applyBorder="1" applyAlignment="1" applyProtection="1">
      <alignment horizontal="center" vertical="center" wrapText="1"/>
    </xf>
    <xf numFmtId="0" fontId="24" fillId="2" borderId="35" xfId="1" applyFont="1" applyFill="1" applyBorder="1" applyAlignment="1" applyProtection="1">
      <alignment horizontal="center" vertical="center" wrapText="1"/>
    </xf>
    <xf numFmtId="0" fontId="24" fillId="2" borderId="36" xfId="1" applyFont="1" applyFill="1" applyBorder="1" applyAlignment="1" applyProtection="1">
      <alignment horizontal="center" vertical="center" wrapText="1"/>
    </xf>
    <xf numFmtId="0" fontId="24" fillId="2" borderId="37" xfId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left" vertical="top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21" fillId="2" borderId="32" xfId="0" applyFont="1" applyFill="1" applyBorder="1" applyAlignment="1">
      <alignment horizontal="center"/>
    </xf>
    <xf numFmtId="0" fontId="21" fillId="2" borderId="33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0" fillId="2" borderId="36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2">
    <cellStyle name="Hyperlink" xfId="1" builtinId="8"/>
    <cellStyle name="Normal" xfId="0" builtinId="0"/>
  </cellStyles>
  <dxfs count="37"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rgb="FFF8E25E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1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5"/>
        </patternFill>
      </fill>
    </dxf>
    <dxf>
      <border>
        <left style="thin">
          <color rgb="FF98E80B"/>
        </left>
        <right style="thin">
          <color rgb="FF98E80B"/>
        </right>
        <top style="thin">
          <color rgb="FF98E80B"/>
        </top>
        <bottom style="thin">
          <color rgb="FF98E80B"/>
        </bottom>
        <vertical/>
        <horizontal/>
      </border>
    </dxf>
    <dxf>
      <border>
        <left style="thin">
          <color rgb="FFD91F26"/>
        </left>
        <right style="thin">
          <color rgb="FFD91F26"/>
        </right>
        <top style="thin">
          <color rgb="FFD91F26"/>
        </top>
        <bottom style="thin">
          <color rgb="FFD91F26"/>
        </bottom>
        <vertical/>
        <horizontal/>
      </border>
    </dxf>
    <dxf>
      <border>
        <left style="thin">
          <color rgb="FFD91F26"/>
        </left>
        <right style="thin">
          <color rgb="FFD91F26"/>
        </right>
        <top style="thin">
          <color rgb="FFD91F26"/>
        </top>
        <bottom style="thin">
          <color rgb="FFD91F26"/>
        </bottom>
        <vertical/>
        <horizontal/>
      </border>
    </dxf>
    <dxf>
      <fill>
        <patternFill patternType="solid">
          <bgColor rgb="FFFFFFCC"/>
        </patternFill>
      </fill>
    </dxf>
    <dxf>
      <fill>
        <patternFill patternType="solid">
          <bgColor theme="1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5"/>
        </patternFill>
      </fill>
    </dxf>
    <dxf>
      <border>
        <left style="thin">
          <color rgb="FF98E80B"/>
        </left>
        <right style="thin">
          <color rgb="FF98E80B"/>
        </right>
        <top style="thin">
          <color rgb="FF98E80B"/>
        </top>
        <bottom style="thin">
          <color rgb="FF98E80B"/>
        </bottom>
        <vertical/>
        <horizontal/>
      </border>
    </dxf>
    <dxf>
      <border>
        <left style="thin">
          <color rgb="FFD91F26"/>
        </left>
        <right style="thin">
          <color rgb="FFD91F26"/>
        </right>
        <top style="thin">
          <color rgb="FFD91F26"/>
        </top>
        <bottom style="thin">
          <color rgb="FFD91F26"/>
        </bottom>
        <vertical/>
        <horizontal/>
      </border>
    </dxf>
    <dxf>
      <border>
        <left style="thin">
          <color rgb="FFD91F26"/>
        </left>
        <right style="thin">
          <color rgb="FFD91F26"/>
        </right>
        <top style="thin">
          <color rgb="FFD91F26"/>
        </top>
        <bottom style="thin">
          <color rgb="FFD91F26"/>
        </bottom>
        <vertical/>
        <horizontal/>
      </border>
    </dxf>
    <dxf>
      <fill>
        <patternFill patternType="solid">
          <bgColor rgb="FFFFFFCC"/>
        </patternFill>
      </fill>
    </dxf>
    <dxf>
      <fill>
        <patternFill patternType="solid">
          <bgColor theme="1"/>
        </patternFill>
      </fill>
    </dxf>
  </dxfs>
  <tableStyles count="0" defaultTableStyle="TableStyleMedium2" defaultPivotStyle="PivotStyleLight16"/>
  <colors>
    <mruColors>
      <color rgb="FFFFFFCC"/>
      <color rgb="FFFEFFC9"/>
      <color rgb="FFFEE634"/>
      <color rgb="FFF8E25E"/>
      <color rgb="FFD91F26"/>
      <color rgb="FF98E80B"/>
      <color rgb="FF6A66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chart!$F$64</c:f>
          <c:strCache>
            <c:ptCount val="1"/>
            <c:pt idx="0">
              <c:v>#VALUE!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4686721852076"/>
          <c:y val="0.12856293722056594"/>
          <c:w val="0.78197725284339459"/>
          <c:h val="0.62835328319386086"/>
        </c:manualLayout>
      </c:layout>
      <c:areaChart>
        <c:grouping val="stacked"/>
        <c:varyColors val="0"/>
        <c:ser>
          <c:idx val="4"/>
          <c:order val="4"/>
          <c:tx>
            <c:strRef>
              <c:f>chart!$L$1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accent2">
                  <a:lumMod val="75000"/>
                  <a:alpha val="0"/>
                </a:schemeClr>
              </a:solidFill>
            </a:ln>
            <a:effectLst/>
          </c:spPr>
          <c:val>
            <c:numRef>
              <c:f>chart!$L$2:$L$61</c:f>
              <c:numCache>
                <c:formatCode>0</c:formatCode>
                <c:ptCount val="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C-4DC4-B4E4-F4ED94F150DE}"/>
            </c:ext>
          </c:extLst>
        </c:ser>
        <c:ser>
          <c:idx val="5"/>
          <c:order val="5"/>
          <c:tx>
            <c:strRef>
              <c:f>chart!$N$1</c:f>
              <c:strCache>
                <c:ptCount val="1"/>
                <c:pt idx="0">
                  <c:v>Supp heating required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chart!$N$2:$N$61</c:f>
              <c:numCache>
                <c:formatCode>0</c:formatCode>
                <c:ptCount val="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C-4DC4-B4E4-F4ED94F1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69696"/>
        <c:axId val="169565376"/>
      </c:areaChart>
      <c:barChart>
        <c:barDir val="col"/>
        <c:grouping val="clustered"/>
        <c:varyColors val="0"/>
        <c:ser>
          <c:idx val="1"/>
          <c:order val="1"/>
          <c:tx>
            <c:strRef>
              <c:f>chart!$B$1</c:f>
              <c:strCache>
                <c:ptCount val="1"/>
                <c:pt idx="0">
                  <c:v>hours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chart!$B$2:$B$61</c:f>
              <c:numCache>
                <c:formatCode>General</c:formatCode>
                <c:ptCount val="60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12</c:v>
                </c:pt>
                <c:pt idx="6">
                  <c:v>13</c:v>
                </c:pt>
                <c:pt idx="7">
                  <c:v>23</c:v>
                </c:pt>
                <c:pt idx="8">
                  <c:v>27</c:v>
                </c:pt>
                <c:pt idx="9">
                  <c:v>73</c:v>
                </c:pt>
                <c:pt idx="10">
                  <c:v>54</c:v>
                </c:pt>
                <c:pt idx="11">
                  <c:v>57</c:v>
                </c:pt>
                <c:pt idx="12">
                  <c:v>54</c:v>
                </c:pt>
                <c:pt idx="13">
                  <c:v>53</c:v>
                </c:pt>
                <c:pt idx="14">
                  <c:v>62</c:v>
                </c:pt>
                <c:pt idx="15">
                  <c:v>79</c:v>
                </c:pt>
                <c:pt idx="16">
                  <c:v>83</c:v>
                </c:pt>
                <c:pt idx="17">
                  <c:v>110</c:v>
                </c:pt>
                <c:pt idx="18">
                  <c:v>131</c:v>
                </c:pt>
                <c:pt idx="19">
                  <c:v>133</c:v>
                </c:pt>
                <c:pt idx="20">
                  <c:v>153</c:v>
                </c:pt>
                <c:pt idx="21">
                  <c:v>165</c:v>
                </c:pt>
                <c:pt idx="22">
                  <c:v>107</c:v>
                </c:pt>
                <c:pt idx="23">
                  <c:v>233</c:v>
                </c:pt>
                <c:pt idx="24">
                  <c:v>235</c:v>
                </c:pt>
                <c:pt idx="25">
                  <c:v>224</c:v>
                </c:pt>
                <c:pt idx="26">
                  <c:v>280</c:v>
                </c:pt>
                <c:pt idx="27">
                  <c:v>409</c:v>
                </c:pt>
                <c:pt idx="28">
                  <c:v>246</c:v>
                </c:pt>
                <c:pt idx="29">
                  <c:v>255</c:v>
                </c:pt>
                <c:pt idx="30">
                  <c:v>204</c:v>
                </c:pt>
                <c:pt idx="31">
                  <c:v>88</c:v>
                </c:pt>
                <c:pt idx="32">
                  <c:v>247</c:v>
                </c:pt>
                <c:pt idx="33">
                  <c:v>180</c:v>
                </c:pt>
                <c:pt idx="34">
                  <c:v>220</c:v>
                </c:pt>
                <c:pt idx="35">
                  <c:v>215</c:v>
                </c:pt>
                <c:pt idx="36">
                  <c:v>334</c:v>
                </c:pt>
                <c:pt idx="37">
                  <c:v>252</c:v>
                </c:pt>
                <c:pt idx="38">
                  <c:v>223</c:v>
                </c:pt>
                <c:pt idx="39">
                  <c:v>224</c:v>
                </c:pt>
                <c:pt idx="40">
                  <c:v>116</c:v>
                </c:pt>
                <c:pt idx="41">
                  <c:v>254</c:v>
                </c:pt>
                <c:pt idx="42">
                  <c:v>261</c:v>
                </c:pt>
                <c:pt idx="43">
                  <c:v>263</c:v>
                </c:pt>
                <c:pt idx="44">
                  <c:v>279</c:v>
                </c:pt>
                <c:pt idx="45">
                  <c:v>381</c:v>
                </c:pt>
                <c:pt idx="46">
                  <c:v>233</c:v>
                </c:pt>
                <c:pt idx="47">
                  <c:v>268</c:v>
                </c:pt>
                <c:pt idx="48">
                  <c:v>221</c:v>
                </c:pt>
                <c:pt idx="49">
                  <c:v>115</c:v>
                </c:pt>
                <c:pt idx="50">
                  <c:v>177</c:v>
                </c:pt>
                <c:pt idx="51">
                  <c:v>201</c:v>
                </c:pt>
                <c:pt idx="52">
                  <c:v>168</c:v>
                </c:pt>
                <c:pt idx="53">
                  <c:v>145</c:v>
                </c:pt>
                <c:pt idx="54">
                  <c:v>107</c:v>
                </c:pt>
                <c:pt idx="55">
                  <c:v>48</c:v>
                </c:pt>
                <c:pt idx="56">
                  <c:v>18</c:v>
                </c:pt>
                <c:pt idx="57">
                  <c:v>13</c:v>
                </c:pt>
                <c:pt idx="58">
                  <c:v>8</c:v>
                </c:pt>
                <c:pt idx="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C-4DC4-B4E4-F4ED94F1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19792"/>
        <c:axId val="171121232"/>
      </c:barChart>
      <c:lineChart>
        <c:grouping val="standard"/>
        <c:varyColors val="0"/>
        <c:ser>
          <c:idx val="0"/>
          <c:order val="0"/>
          <c:tx>
            <c:strRef>
              <c:f>chart!$I$1</c:f>
              <c:strCache>
                <c:ptCount val="1"/>
                <c:pt idx="0">
                  <c:v>Heat pump heating capacity </c:v>
                </c:pt>
              </c:strCache>
            </c:strRef>
          </c:tx>
          <c:spPr>
            <a:ln w="158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chart!$A$2:$A$61</c:f>
              <c:numCache>
                <c:formatCode>General</c:formatCode>
                <c:ptCount val="60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  <c:pt idx="21">
                  <c:v>22</c:v>
                </c:pt>
                <c:pt idx="22">
                  <c:v>24</c:v>
                </c:pt>
                <c:pt idx="23">
                  <c:v>26</c:v>
                </c:pt>
                <c:pt idx="24">
                  <c:v>28</c:v>
                </c:pt>
                <c:pt idx="25">
                  <c:v>30</c:v>
                </c:pt>
                <c:pt idx="26">
                  <c:v>32</c:v>
                </c:pt>
                <c:pt idx="27">
                  <c:v>34</c:v>
                </c:pt>
                <c:pt idx="28">
                  <c:v>36</c:v>
                </c:pt>
                <c:pt idx="29">
                  <c:v>38</c:v>
                </c:pt>
                <c:pt idx="30">
                  <c:v>40</c:v>
                </c:pt>
                <c:pt idx="31">
                  <c:v>42</c:v>
                </c:pt>
                <c:pt idx="32">
                  <c:v>44</c:v>
                </c:pt>
                <c:pt idx="33">
                  <c:v>46</c:v>
                </c:pt>
                <c:pt idx="34">
                  <c:v>48</c:v>
                </c:pt>
                <c:pt idx="35">
                  <c:v>50</c:v>
                </c:pt>
                <c:pt idx="36">
                  <c:v>52</c:v>
                </c:pt>
                <c:pt idx="37">
                  <c:v>54</c:v>
                </c:pt>
                <c:pt idx="38">
                  <c:v>56</c:v>
                </c:pt>
                <c:pt idx="39">
                  <c:v>58</c:v>
                </c:pt>
                <c:pt idx="40">
                  <c:v>60</c:v>
                </c:pt>
                <c:pt idx="41">
                  <c:v>62</c:v>
                </c:pt>
                <c:pt idx="42">
                  <c:v>64</c:v>
                </c:pt>
                <c:pt idx="43">
                  <c:v>66</c:v>
                </c:pt>
                <c:pt idx="44">
                  <c:v>68</c:v>
                </c:pt>
                <c:pt idx="45">
                  <c:v>70</c:v>
                </c:pt>
                <c:pt idx="46">
                  <c:v>72</c:v>
                </c:pt>
                <c:pt idx="47">
                  <c:v>74</c:v>
                </c:pt>
                <c:pt idx="48">
                  <c:v>76</c:v>
                </c:pt>
                <c:pt idx="49">
                  <c:v>78</c:v>
                </c:pt>
                <c:pt idx="50">
                  <c:v>80</c:v>
                </c:pt>
                <c:pt idx="51">
                  <c:v>82</c:v>
                </c:pt>
                <c:pt idx="52">
                  <c:v>84</c:v>
                </c:pt>
                <c:pt idx="53">
                  <c:v>86</c:v>
                </c:pt>
                <c:pt idx="54">
                  <c:v>88</c:v>
                </c:pt>
                <c:pt idx="55">
                  <c:v>90</c:v>
                </c:pt>
                <c:pt idx="56">
                  <c:v>92</c:v>
                </c:pt>
                <c:pt idx="57">
                  <c:v>94</c:v>
                </c:pt>
                <c:pt idx="58">
                  <c:v>96</c:v>
                </c:pt>
                <c:pt idx="59">
                  <c:v>98</c:v>
                </c:pt>
              </c:numCache>
            </c:numRef>
          </c:cat>
          <c:val>
            <c:numRef>
              <c:f>chart!$I$2:$I$61</c:f>
              <c:numCache>
                <c:formatCode>0</c:formatCode>
                <c:ptCount val="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C-4DC4-B4E4-F4ED94F150DE}"/>
            </c:ext>
          </c:extLst>
        </c:ser>
        <c:ser>
          <c:idx val="2"/>
          <c:order val="2"/>
          <c:tx>
            <c:strRef>
              <c:f>chart!$J$1</c:f>
              <c:strCache>
                <c:ptCount val="1"/>
                <c:pt idx="0">
                  <c:v>Building heating load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chart!$J$2:$J$61</c:f>
              <c:numCache>
                <c:formatCode>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6C-4DC4-B4E4-F4ED94F150DE}"/>
            </c:ext>
          </c:extLst>
        </c:ser>
        <c:ser>
          <c:idx val="3"/>
          <c:order val="3"/>
          <c:tx>
            <c:strRef>
              <c:f>chart!$K$1</c:f>
              <c:strCache>
                <c:ptCount val="1"/>
                <c:pt idx="0">
                  <c:v>Building cooling load</c:v>
                </c:pt>
              </c:strCache>
            </c:strRef>
          </c:tx>
          <c:spPr>
            <a:ln w="158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chart!$K$2:$K$61</c:f>
              <c:numCache>
                <c:formatCode>0</c:formatCode>
                <c:ptCount val="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6C-4DC4-B4E4-F4ED94F1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9696"/>
        <c:axId val="169565376"/>
      </c:lineChart>
      <c:catAx>
        <c:axId val="169569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OAT (F)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65376"/>
        <c:crosses val="autoZero"/>
        <c:auto val="1"/>
        <c:lblAlgn val="ctr"/>
        <c:lblOffset val="100"/>
        <c:noMultiLvlLbl val="0"/>
      </c:catAx>
      <c:valAx>
        <c:axId val="16956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alpha val="12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Load in Btuh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69696"/>
        <c:crosses val="autoZero"/>
        <c:crossBetween val="between"/>
        <c:majorUnit val="10000"/>
      </c:valAx>
      <c:valAx>
        <c:axId val="171121232"/>
        <c:scaling>
          <c:orientation val="minMax"/>
          <c:max val="1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19792"/>
        <c:crosses val="max"/>
        <c:crossBetween val="between"/>
      </c:valAx>
      <c:catAx>
        <c:axId val="171119792"/>
        <c:scaling>
          <c:orientation val="minMax"/>
        </c:scaling>
        <c:delete val="1"/>
        <c:axPos val="b"/>
        <c:majorTickMark val="out"/>
        <c:minorTickMark val="none"/>
        <c:tickLblPos val="nextTo"/>
        <c:crossAx val="171121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639914176348796E-2"/>
          <c:y val="0.85433153765922321"/>
          <c:w val="0.86112222791976001"/>
          <c:h val="0.126321539855030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39</xdr:row>
      <xdr:rowOff>55665</xdr:rowOff>
    </xdr:from>
    <xdr:to>
      <xdr:col>3</xdr:col>
      <xdr:colOff>3048000</xdr:colOff>
      <xdr:row>66</xdr:row>
      <xdr:rowOff>35656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50AE89-130B-4D0C-A26C-3ADBB6A88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449039</xdr:colOff>
      <xdr:row>1</xdr:row>
      <xdr:rowOff>108836</xdr:rowOff>
    </xdr:from>
    <xdr:to>
      <xdr:col>7</xdr:col>
      <xdr:colOff>311727</xdr:colOff>
      <xdr:row>10</xdr:row>
      <xdr:rowOff>230808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98D0D64-DD7A-1E5D-2B98-57935CFE9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54448" y="212745"/>
          <a:ext cx="3949779" cy="2044290"/>
        </a:xfrm>
        <a:prstGeom prst="rect">
          <a:avLst/>
        </a:prstGeom>
        <a:ln w="31750">
          <a:solidFill>
            <a:schemeClr val="tx1"/>
          </a:solidFill>
          <a:prstDash val="dash"/>
        </a:ln>
      </xdr:spPr>
    </xdr:pic>
    <xdr:clientData/>
  </xdr:twoCellAnchor>
  <xdr:twoCellAnchor>
    <xdr:from>
      <xdr:col>3</xdr:col>
      <xdr:colOff>2598965</xdr:colOff>
      <xdr:row>9</xdr:row>
      <xdr:rowOff>122464</xdr:rowOff>
    </xdr:from>
    <xdr:to>
      <xdr:col>5</xdr:col>
      <xdr:colOff>680357</xdr:colOff>
      <xdr:row>9</xdr:row>
      <xdr:rowOff>163286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8A24710-A99C-FEB3-CE4C-0869AEE24E89}"/>
            </a:ext>
          </a:extLst>
        </xdr:cNvPr>
        <xdr:cNvCxnSpPr/>
      </xdr:nvCxnSpPr>
      <xdr:spPr>
        <a:xfrm flipH="1">
          <a:off x="10246179" y="2299607"/>
          <a:ext cx="1986642" cy="40822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84365</xdr:colOff>
      <xdr:row>10</xdr:row>
      <xdr:rowOff>163285</xdr:rowOff>
    </xdr:from>
    <xdr:to>
      <xdr:col>5</xdr:col>
      <xdr:colOff>639536</xdr:colOff>
      <xdr:row>10</xdr:row>
      <xdr:rowOff>193221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F3F754C5-08FC-466B-8B00-E14EFC713B4F}"/>
            </a:ext>
          </a:extLst>
        </xdr:cNvPr>
        <xdr:cNvCxnSpPr/>
      </xdr:nvCxnSpPr>
      <xdr:spPr>
        <a:xfrm flipH="1">
          <a:off x="10970079" y="2612571"/>
          <a:ext cx="1221921" cy="29936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398319</xdr:colOff>
      <xdr:row>23</xdr:row>
      <xdr:rowOff>207817</xdr:rowOff>
    </xdr:from>
    <xdr:to>
      <xdr:col>15</xdr:col>
      <xdr:colOff>550718</xdr:colOff>
      <xdr:row>45</xdr:row>
      <xdr:rowOff>64076</xdr:rowOff>
    </xdr:to>
    <xdr:pic>
      <xdr:nvPicPr>
        <xdr:cNvPr id="13" name="Picture 12" descr="Manual S® Residential Equipment Selection - ACCA">
          <a:extLst>
            <a:ext uri="{FF2B5EF4-FFF2-40B4-BE49-F238E27FC236}">
              <a16:creationId xmlns:a16="http://schemas.microsoft.com/office/drawing/2014/main" id="{A6362546-6714-528C-4467-C1E76EA6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71228" y="5714999"/>
          <a:ext cx="3789218" cy="4947804"/>
        </a:xfrm>
        <a:prstGeom prst="rect">
          <a:avLst/>
        </a:prstGeom>
        <a:noFill/>
        <a:ln w="28575">
          <a:solidFill>
            <a:schemeClr val="tx1"/>
          </a:solidFill>
          <a:prstDash val="dash"/>
        </a:ln>
      </xdr:spPr>
    </xdr:pic>
    <xdr:clientData/>
  </xdr:twoCellAnchor>
  <xdr:twoCellAnchor>
    <xdr:from>
      <xdr:col>8</xdr:col>
      <xdr:colOff>42307</xdr:colOff>
      <xdr:row>26</xdr:row>
      <xdr:rowOff>17319</xdr:rowOff>
    </xdr:from>
    <xdr:to>
      <xdr:col>9</xdr:col>
      <xdr:colOff>571500</xdr:colOff>
      <xdr:row>26</xdr:row>
      <xdr:rowOff>62099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CD6B581F-AF25-43FF-A507-C2D2D13606FA}"/>
            </a:ext>
          </a:extLst>
        </xdr:cNvPr>
        <xdr:cNvCxnSpPr/>
      </xdr:nvCxnSpPr>
      <xdr:spPr>
        <a:xfrm flipH="1">
          <a:off x="17793443" y="6251864"/>
          <a:ext cx="1550966" cy="4478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1019735</xdr:colOff>
      <xdr:row>3</xdr:row>
      <xdr:rowOff>0</xdr:rowOff>
    </xdr:from>
    <xdr:to>
      <xdr:col>20</xdr:col>
      <xdr:colOff>571502</xdr:colOff>
      <xdr:row>22</xdr:row>
      <xdr:rowOff>177405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0B52CC9-F5FF-49AD-1F1E-59734CBAF0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65" t="658" b="1"/>
        <a:stretch/>
      </xdr:blipFill>
      <xdr:spPr>
        <a:xfrm>
          <a:off x="17212235" y="952500"/>
          <a:ext cx="8785414" cy="4558905"/>
        </a:xfrm>
        <a:prstGeom prst="rect">
          <a:avLst/>
        </a:prstGeom>
        <a:ln w="28575">
          <a:solidFill>
            <a:schemeClr val="tx1"/>
          </a:solidFill>
          <a:prstDash val="dash"/>
        </a:ln>
      </xdr:spPr>
    </xdr:pic>
    <xdr:clientData/>
  </xdr:twoCellAnchor>
  <xdr:twoCellAnchor>
    <xdr:from>
      <xdr:col>3</xdr:col>
      <xdr:colOff>3065318</xdr:colOff>
      <xdr:row>22</xdr:row>
      <xdr:rowOff>23074</xdr:rowOff>
    </xdr:from>
    <xdr:to>
      <xdr:col>4</xdr:col>
      <xdr:colOff>24845</xdr:colOff>
      <xdr:row>25</xdr:row>
      <xdr:rowOff>24847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67F22004-39E5-36FA-264E-B84321FE1DD4}"/>
            </a:ext>
          </a:extLst>
        </xdr:cNvPr>
        <xdr:cNvSpPr/>
      </xdr:nvSpPr>
      <xdr:spPr>
        <a:xfrm>
          <a:off x="11256818" y="4872165"/>
          <a:ext cx="700254" cy="798409"/>
        </a:xfrm>
        <a:prstGeom prst="rightBrac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137019</xdr:colOff>
      <xdr:row>22</xdr:row>
      <xdr:rowOff>5324</xdr:rowOff>
    </xdr:from>
    <xdr:to>
      <xdr:col>7</xdr:col>
      <xdr:colOff>1093897</xdr:colOff>
      <xdr:row>23</xdr:row>
      <xdr:rowOff>146483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5F793E54-4560-4F8E-AFC2-F41D3DECDEF4}"/>
            </a:ext>
          </a:extLst>
        </xdr:cNvPr>
        <xdr:cNvCxnSpPr/>
      </xdr:nvCxnSpPr>
      <xdr:spPr>
        <a:xfrm flipH="1">
          <a:off x="11553412" y="5366538"/>
          <a:ext cx="5719378" cy="413302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70415</xdr:colOff>
      <xdr:row>39</xdr:row>
      <xdr:rowOff>17318</xdr:rowOff>
    </xdr:from>
    <xdr:to>
      <xdr:col>3</xdr:col>
      <xdr:colOff>3203864</xdr:colOff>
      <xdr:row>66</xdr:row>
      <xdr:rowOff>186757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484A46-4790-3CCE-67DB-2010B1F07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15" y="9074727"/>
          <a:ext cx="11324949" cy="53129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1564822</xdr:colOff>
      <xdr:row>39</xdr:row>
      <xdr:rowOff>81642</xdr:rowOff>
    </xdr:from>
    <xdr:to>
      <xdr:col>4</xdr:col>
      <xdr:colOff>1483178</xdr:colOff>
      <xdr:row>44</xdr:row>
      <xdr:rowOff>136071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FD39865C-215D-05A8-E4AC-188694438436}"/>
            </a:ext>
          </a:extLst>
        </xdr:cNvPr>
        <xdr:cNvCxnSpPr/>
      </xdr:nvCxnSpPr>
      <xdr:spPr>
        <a:xfrm>
          <a:off x="7402286" y="10042071"/>
          <a:ext cx="2735035" cy="100692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1485901</xdr:colOff>
      <xdr:row>39</xdr:row>
      <xdr:rowOff>29935</xdr:rowOff>
    </xdr:from>
    <xdr:to>
      <xdr:col>4</xdr:col>
      <xdr:colOff>1483178</xdr:colOff>
      <xdr:row>45</xdr:row>
      <xdr:rowOff>136071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919475AE-C144-4820-A013-399DE9216306}"/>
            </a:ext>
          </a:extLst>
        </xdr:cNvPr>
        <xdr:cNvCxnSpPr/>
      </xdr:nvCxnSpPr>
      <xdr:spPr>
        <a:xfrm>
          <a:off x="4370615" y="9990364"/>
          <a:ext cx="5766706" cy="1249136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66675</xdr:rowOff>
    </xdr:from>
    <xdr:to>
      <xdr:col>9</xdr:col>
      <xdr:colOff>123157</xdr:colOff>
      <xdr:row>22</xdr:row>
      <xdr:rowOff>9008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ACE1DC-108B-37DB-2859-8A8C05A0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66675"/>
          <a:ext cx="5342857" cy="4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beacon.schneidercorp.com/Application.aspx?AppID=1110&amp;LayerID=27729&amp;PageTypeID=2&amp;PageID=11310&amp;KeyValue=90142125100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beacon.schneidercorp.com/Application.aspx?AppID=1110&amp;LayerID=27729&amp;PageTypeID=2&amp;PageID=11310&amp;KeyValue=901421251002" TargetMode="External"/><Relationship Id="rId1" Type="http://schemas.openxmlformats.org/officeDocument/2006/relationships/hyperlink" Target="https://www.ahridirectory.org/" TargetMode="External"/><Relationship Id="rId6" Type="http://schemas.openxmlformats.org/officeDocument/2006/relationships/hyperlink" Target="https://view.acca.org/CUp2kG?_ga=2.163667199.1719098647.1741274292-455797955.1715894563" TargetMode="External"/><Relationship Id="rId5" Type="http://schemas.openxmlformats.org/officeDocument/2006/relationships/hyperlink" Target="https://www.ahridirectory.org/" TargetMode="External"/><Relationship Id="rId4" Type="http://schemas.openxmlformats.org/officeDocument/2006/relationships/hyperlink" Target="https://www.ahridirectory.org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beacon.schneidercorp.com/Application.aspx?AppID=1110&amp;LayerID=27729&amp;PageTypeID=2&amp;PageID=11310&amp;KeyValue=901421251002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beacon.schneidercorp.com/Application.aspx?AppID=1110&amp;LayerID=27729&amp;PageTypeID=2&amp;PageID=11310&amp;KeyValue=901421251002" TargetMode="External"/><Relationship Id="rId1" Type="http://schemas.openxmlformats.org/officeDocument/2006/relationships/hyperlink" Target="https://www.ahridirectory.org/" TargetMode="External"/><Relationship Id="rId6" Type="http://schemas.openxmlformats.org/officeDocument/2006/relationships/hyperlink" Target="https://view.acca.org/CUp2kG?_ga=2.163667199.1719098647.1741274292-455797955.1715894563" TargetMode="External"/><Relationship Id="rId5" Type="http://schemas.openxmlformats.org/officeDocument/2006/relationships/hyperlink" Target="https://www.ahridirectory.org/" TargetMode="External"/><Relationship Id="rId4" Type="http://schemas.openxmlformats.org/officeDocument/2006/relationships/hyperlink" Target="https://www.ahridirectory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2.co.black-hawk.ia.us/website/bhmap/viewer.htm" TargetMode="External"/><Relationship Id="rId1" Type="http://schemas.openxmlformats.org/officeDocument/2006/relationships/hyperlink" Target="http://www2.co.black-hawk.ia.us/website/bhmap/viewer.ht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41"/>
  <sheetViews>
    <sheetView showGridLines="0" tabSelected="1" zoomScale="55" zoomScaleNormal="55" workbookViewId="0">
      <selection activeCell="C7" sqref="C7:D7"/>
    </sheetView>
  </sheetViews>
  <sheetFormatPr defaultColWidth="9.140625" defaultRowHeight="15" x14ac:dyDescent="0.25"/>
  <cols>
    <col min="1" max="1" width="1.42578125" style="1" customWidth="1"/>
    <col min="2" max="2" width="72.85546875" style="1" bestFit="1" customWidth="1"/>
    <col min="3" max="3" width="48.42578125" style="1" customWidth="1"/>
    <col min="4" max="4" width="53.42578125" style="1" customWidth="1"/>
    <col min="5" max="5" width="10" style="1" customWidth="1"/>
    <col min="6" max="6" width="44" style="1" bestFit="1" customWidth="1"/>
    <col min="7" max="7" width="17.28515625" style="1" customWidth="1"/>
    <col min="8" max="8" width="23.28515625" style="1" customWidth="1"/>
    <col min="9" max="9" width="15.28515625" style="1" customWidth="1"/>
    <col min="10" max="16384" width="9.140625" style="1"/>
  </cols>
  <sheetData>
    <row r="1" spans="2:10" ht="8.4499999999999993" customHeight="1" x14ac:dyDescent="0.25"/>
    <row r="2" spans="2:10" x14ac:dyDescent="0.25">
      <c r="B2" s="25" t="s">
        <v>0</v>
      </c>
    </row>
    <row r="3" spans="2:10" ht="20.25" customHeight="1" x14ac:dyDescent="0.25">
      <c r="B3" s="206" t="s">
        <v>1</v>
      </c>
      <c r="C3" s="206"/>
      <c r="D3" s="206"/>
    </row>
    <row r="4" spans="2:10" ht="15" customHeight="1" x14ac:dyDescent="0.25">
      <c r="B4" s="206" t="s">
        <v>2</v>
      </c>
      <c r="C4" s="206"/>
      <c r="D4" s="198" t="s">
        <v>168</v>
      </c>
      <c r="E4" s="197"/>
    </row>
    <row r="5" spans="2:10" x14ac:dyDescent="0.25">
      <c r="B5" s="154"/>
      <c r="C5" s="154"/>
      <c r="D5" s="154"/>
    </row>
    <row r="6" spans="2:10" x14ac:dyDescent="0.25">
      <c r="B6" s="25" t="s">
        <v>3</v>
      </c>
      <c r="C6" s="154"/>
      <c r="D6" s="154"/>
    </row>
    <row r="7" spans="2:10" ht="21" x14ac:dyDescent="0.25">
      <c r="B7" s="155" t="s">
        <v>111</v>
      </c>
      <c r="C7" s="207"/>
      <c r="D7" s="207"/>
    </row>
    <row r="8" spans="2:10" x14ac:dyDescent="0.25">
      <c r="D8" s="16"/>
    </row>
    <row r="9" spans="2:10" x14ac:dyDescent="0.25">
      <c r="B9" s="25" t="s">
        <v>47</v>
      </c>
      <c r="C9" s="25"/>
      <c r="D9" s="16"/>
    </row>
    <row r="10" spans="2:10" ht="21" x14ac:dyDescent="0.35">
      <c r="B10" s="156" t="s">
        <v>4</v>
      </c>
      <c r="C10" s="179"/>
      <c r="D10" s="157" t="s">
        <v>162</v>
      </c>
    </row>
    <row r="11" spans="2:10" ht="21" x14ac:dyDescent="0.35">
      <c r="B11" s="35" t="s">
        <v>123</v>
      </c>
      <c r="C11" s="180"/>
      <c r="D11" s="157" t="s">
        <v>163</v>
      </c>
    </row>
    <row r="12" spans="2:10" ht="21" x14ac:dyDescent="0.35">
      <c r="F12" s="158"/>
      <c r="G12" s="159"/>
      <c r="H12" s="160"/>
      <c r="I12"/>
      <c r="J12"/>
    </row>
    <row r="13" spans="2:10" x14ac:dyDescent="0.25">
      <c r="B13" s="25" t="s">
        <v>46</v>
      </c>
      <c r="C13" s="25"/>
      <c r="F13"/>
      <c r="G13" s="29"/>
      <c r="H13" s="161"/>
      <c r="I13"/>
      <c r="J13"/>
    </row>
    <row r="14" spans="2:10" ht="21" x14ac:dyDescent="0.35">
      <c r="B14" s="19" t="s">
        <v>104</v>
      </c>
      <c r="C14" s="181"/>
      <c r="D14" s="2" t="s">
        <v>38</v>
      </c>
      <c r="F14"/>
      <c r="G14" s="29"/>
      <c r="H14"/>
      <c r="I14"/>
      <c r="J14"/>
    </row>
    <row r="15" spans="2:10" ht="21" x14ac:dyDescent="0.35">
      <c r="B15" s="20" t="s">
        <v>96</v>
      </c>
      <c r="C15" s="182"/>
      <c r="D15" s="2" t="s">
        <v>95</v>
      </c>
      <c r="G15" s="24"/>
    </row>
    <row r="16" spans="2:10" ht="12.75" customHeight="1" x14ac:dyDescent="0.35">
      <c r="B16" s="21"/>
      <c r="C16" s="183"/>
      <c r="D16" s="2"/>
      <c r="G16" s="24"/>
    </row>
    <row r="17" spans="2:15" ht="21" customHeight="1" thickBot="1" x14ac:dyDescent="0.3">
      <c r="B17" s="26" t="s">
        <v>166</v>
      </c>
      <c r="C17" s="184"/>
      <c r="D17" s="2"/>
      <c r="F17" s="26" t="s">
        <v>114</v>
      </c>
      <c r="G17" s="24"/>
    </row>
    <row r="18" spans="2:15" ht="21" x14ac:dyDescent="0.35">
      <c r="B18" s="23" t="str">
        <f>+IF(ISBLANK(C14), "Heating (btu/hr) ",IF(C14="Yes","Backup heating [Heating (btu/hr)]", "Furnace [Heating (btu/hr)]"))</f>
        <v xml:space="preserve">Heating (btu/hr) </v>
      </c>
      <c r="C18" s="180"/>
      <c r="D18" s="2" t="s">
        <v>66</v>
      </c>
      <c r="F18" s="162" t="s">
        <v>112</v>
      </c>
      <c r="G18" s="64"/>
    </row>
    <row r="19" spans="2:15" ht="21.75" thickBot="1" x14ac:dyDescent="0.4">
      <c r="B19" s="23" t="str">
        <f>+IF(ISBLANK(C14), "Cooling sensible (btu/hr)",IF(C14="Yes","HP [Cooling sensible (btu/hr)]", "AC [Cooling sensible (btu/hr)]"))</f>
        <v>Cooling sensible (btu/hr)</v>
      </c>
      <c r="C19" s="180"/>
      <c r="D19" s="2" t="s">
        <v>67</v>
      </c>
      <c r="F19" s="163" t="s">
        <v>113</v>
      </c>
      <c r="G19" s="164">
        <f>+(G18*3412.142)</f>
        <v>0</v>
      </c>
    </row>
    <row r="20" spans="2:15" ht="21" x14ac:dyDescent="0.35">
      <c r="B20" s="3" t="str">
        <f>+IF(ISBLANK(C14), "Cooling latent (btu/hr)",IF(C14="Yes","HP [Cooling latent (btu/hr)]", "AC [Cooling latent (btu/hr)]"))</f>
        <v>Cooling latent (btu/hr)</v>
      </c>
      <c r="C20" s="185"/>
      <c r="D20" s="2" t="s">
        <v>68</v>
      </c>
    </row>
    <row r="22" spans="2:15" x14ac:dyDescent="0.25">
      <c r="B22" s="49" t="s">
        <v>65</v>
      </c>
      <c r="D22" s="195"/>
    </row>
    <row r="23" spans="2:15" ht="21" customHeight="1" x14ac:dyDescent="0.35">
      <c r="B23" s="35" t="s">
        <v>110</v>
      </c>
      <c r="C23" s="180"/>
      <c r="D23" s="196" t="s">
        <v>109</v>
      </c>
      <c r="E23" s="165"/>
      <c r="F23" s="166" t="str">
        <f>IF($C$14="No","",IF(C23&gt;$C$18,"Greater than Nominal size",""))</f>
        <v/>
      </c>
      <c r="I23" s="190"/>
    </row>
    <row r="24" spans="2:15" ht="21" x14ac:dyDescent="0.35">
      <c r="B24" s="35" t="s">
        <v>119</v>
      </c>
      <c r="C24" s="180"/>
      <c r="D24" s="196" t="s">
        <v>108</v>
      </c>
      <c r="E24" s="165" t="str">
        <f>+IF($C$14="No","",IF(C24&gt;$C$23,"ERROR",""))</f>
        <v/>
      </c>
      <c r="F24" s="166" t="str">
        <f>IF($C$14="No","",IF(C24&gt;$C$23,"Greater than Nominal size",""))</f>
        <v/>
      </c>
    </row>
    <row r="25" spans="2:15" ht="21.75" thickBot="1" x14ac:dyDescent="0.4">
      <c r="B25" s="35" t="s">
        <v>118</v>
      </c>
      <c r="C25" s="180"/>
      <c r="D25" s="196" t="s">
        <v>117</v>
      </c>
      <c r="E25" s="165" t="str">
        <f>+IF($C$14="No","",IF(C25&gt;$C$23,"ERROR",""))</f>
        <v/>
      </c>
      <c r="F25" s="166" t="str">
        <f>IF($C$14="No","",IF(C25&gt;$C$23,"Greater than Nominal size",""))</f>
        <v/>
      </c>
      <c r="K25" s="24"/>
      <c r="L25" s="24"/>
      <c r="M25" s="24"/>
      <c r="N25" s="24"/>
      <c r="O25" s="24"/>
    </row>
    <row r="26" spans="2:15" ht="15" customHeight="1" x14ac:dyDescent="0.25">
      <c r="F26" s="200" t="s">
        <v>165</v>
      </c>
      <c r="G26" s="201"/>
      <c r="H26" s="202"/>
      <c r="I26" s="199"/>
      <c r="J26" s="199"/>
      <c r="M26" s="24"/>
      <c r="N26" s="24"/>
      <c r="O26" s="24"/>
    </row>
    <row r="27" spans="2:15" ht="24" thickBot="1" x14ac:dyDescent="0.4">
      <c r="B27" s="194" t="s">
        <v>7</v>
      </c>
      <c r="F27" s="203"/>
      <c r="G27" s="204"/>
      <c r="H27" s="205"/>
      <c r="I27" s="199"/>
      <c r="J27" s="199"/>
      <c r="M27" s="24"/>
      <c r="N27" s="24"/>
      <c r="O27" s="24"/>
    </row>
    <row r="28" spans="2:15" ht="18.75" customHeight="1" x14ac:dyDescent="0.25">
      <c r="B28" s="167"/>
      <c r="F28" s="189"/>
      <c r="G28" s="192" t="s">
        <v>100</v>
      </c>
      <c r="H28" s="193" t="s">
        <v>101</v>
      </c>
      <c r="I28" s="24"/>
      <c r="J28" s="24"/>
      <c r="M28" s="24"/>
      <c r="N28" s="24"/>
      <c r="O28" s="24"/>
    </row>
    <row r="29" spans="2:15" ht="19.5" customHeight="1" x14ac:dyDescent="0.25">
      <c r="B29" s="208" t="str">
        <f>+IF(ISBLANK(C14), "Air Conditioner:",IF(C14="NO","Air Conditioner:", "Heat Pump (Cooling)"))</f>
        <v>Air Conditioner:</v>
      </c>
      <c r="C29" s="211" t="str">
        <f>A!C26</f>
        <v>Enter inputs.</v>
      </c>
      <c r="D29" s="212"/>
      <c r="F29" s="186" t="s">
        <v>59</v>
      </c>
      <c r="G29" s="153" t="str">
        <f>A!K40</f>
        <v>N/A</v>
      </c>
      <c r="H29" s="217" t="str">
        <f>A!L40</f>
        <v>N/A</v>
      </c>
      <c r="I29" s="24"/>
      <c r="J29" s="24"/>
    </row>
    <row r="30" spans="2:15" ht="19.5" customHeight="1" x14ac:dyDescent="0.25">
      <c r="B30" s="209"/>
      <c r="C30" s="213"/>
      <c r="D30" s="214"/>
      <c r="F30" s="186" t="s">
        <v>58</v>
      </c>
      <c r="G30" s="153" t="str">
        <f>A!K41</f>
        <v>N/A</v>
      </c>
      <c r="H30" s="218"/>
    </row>
    <row r="31" spans="2:15" ht="18.75" customHeight="1" x14ac:dyDescent="0.25">
      <c r="B31" s="210"/>
      <c r="C31" s="215"/>
      <c r="D31" s="216"/>
      <c r="F31" s="186" t="s">
        <v>63</v>
      </c>
      <c r="G31" s="153" t="str">
        <f>A!K42</f>
        <v>N/A</v>
      </c>
      <c r="H31" s="219"/>
    </row>
    <row r="32" spans="2:15" ht="21" x14ac:dyDescent="0.25">
      <c r="B32" s="168"/>
      <c r="C32" s="169"/>
      <c r="D32" s="169"/>
      <c r="F32" s="187"/>
      <c r="G32" s="191"/>
      <c r="H32" s="170"/>
    </row>
    <row r="33" spans="2:8" ht="20.25" customHeight="1" x14ac:dyDescent="0.25">
      <c r="B33" s="220" t="str">
        <f>+IF(ISBLANK(C14), "Heat Pump/Furnace:",IF(C14="NO","Furnace:", "Heat Pump (Heating) + Supp heat:"))</f>
        <v>Heat Pump/Furnace:</v>
      </c>
      <c r="C33" s="211" t="str">
        <f>A!C28</f>
        <v>Enter inputs.</v>
      </c>
      <c r="D33" s="212"/>
      <c r="F33" s="186" t="s">
        <v>98</v>
      </c>
      <c r="G33" s="153" t="str">
        <f>A!K38</f>
        <v>N/A</v>
      </c>
      <c r="H33" s="217" t="str">
        <f>A!L38</f>
        <v>N/A</v>
      </c>
    </row>
    <row r="34" spans="2:8" ht="30" customHeight="1" thickBot="1" x14ac:dyDescent="0.3">
      <c r="B34" s="221"/>
      <c r="C34" s="215"/>
      <c r="D34" s="216"/>
      <c r="F34" s="188" t="s">
        <v>102</v>
      </c>
      <c r="G34" s="171" t="str">
        <f>A!K39</f>
        <v>N/A</v>
      </c>
      <c r="H34" s="222"/>
    </row>
    <row r="36" spans="2:8" ht="21" x14ac:dyDescent="0.25">
      <c r="B36" s="172"/>
      <c r="C36" s="173"/>
      <c r="D36" s="173"/>
    </row>
    <row r="37" spans="2:8" ht="15.75" x14ac:dyDescent="0.25">
      <c r="B37" s="174" t="s">
        <v>9</v>
      </c>
    </row>
    <row r="38" spans="2:8" x14ac:dyDescent="0.25">
      <c r="B38" s="206" t="s">
        <v>10</v>
      </c>
      <c r="C38" s="206"/>
      <c r="D38" s="206"/>
    </row>
    <row r="39" spans="2:8" x14ac:dyDescent="0.25">
      <c r="B39" s="2" t="str">
        <f>A!B33</f>
        <v>Version: 6.3.0</v>
      </c>
    </row>
    <row r="40" spans="2:8" x14ac:dyDescent="0.25">
      <c r="B40" s="5"/>
      <c r="C40" s="175"/>
      <c r="D40" s="176"/>
      <c r="E40" s="176"/>
    </row>
    <row r="41" spans="2:8" x14ac:dyDescent="0.25">
      <c r="B41" s="5"/>
      <c r="C41" s="177"/>
      <c r="D41" s="178"/>
      <c r="E41" s="178"/>
    </row>
  </sheetData>
  <sheetProtection algorithmName="SHA-512" hashValue="NNEgtVLmNFcbk/tSD36xXT57nFeL45MDxxv7bEuEtlnbmi36YH+j3UZB0gTQ1/ZKasvoFhpEgWHZ+KFlQ4J4hQ==" saltValue="o1LOkHuCUlSA04GXiI1FMg==" spinCount="100000" sheet="1" objects="1" scenarios="1"/>
  <mergeCells count="12">
    <mergeCell ref="I26:J27"/>
    <mergeCell ref="F26:H27"/>
    <mergeCell ref="B3:D3"/>
    <mergeCell ref="B38:D38"/>
    <mergeCell ref="C7:D7"/>
    <mergeCell ref="B29:B31"/>
    <mergeCell ref="C29:D31"/>
    <mergeCell ref="H29:H31"/>
    <mergeCell ref="B33:B34"/>
    <mergeCell ref="C33:D34"/>
    <mergeCell ref="H33:H34"/>
    <mergeCell ref="B4:C4"/>
  </mergeCells>
  <conditionalFormatting sqref="B22:D25">
    <cfRule type="expression" dxfId="36" priority="2">
      <formula>$C$14="No"</formula>
    </cfRule>
  </conditionalFormatting>
  <conditionalFormatting sqref="C23:C25">
    <cfRule type="expression" dxfId="35" priority="1">
      <formula>$C$14="Yes"</formula>
    </cfRule>
  </conditionalFormatting>
  <conditionalFormatting sqref="C29:D34">
    <cfRule type="containsText" dxfId="34" priority="5" operator="containsText" text="Sized properly. Only Inverter AC units are eligible for rebate">
      <formula>NOT(ISERROR(SEARCH("Sized properly. Only Inverter AC units are eligible for rebate",C29)))</formula>
    </cfRule>
    <cfRule type="containsText" dxfId="33" priority="26" operator="containsText" text="NOT">
      <formula>NOT(ISERROR(SEARCH("NOT",C29)))</formula>
    </cfRule>
    <cfRule type="containsText" dxfId="32" priority="27" operator="containsText" text="Sizing approved for rebate">
      <formula>NOT(ISERROR(SEARCH("Sizing approved for rebate",C29)))</formula>
    </cfRule>
  </conditionalFormatting>
  <conditionalFormatting sqref="E23:E25">
    <cfRule type="containsText" dxfId="31" priority="6" operator="containsText" text="ERROR">
      <formula>NOT(ISERROR(SEARCH("ERROR",E23)))</formula>
    </cfRule>
  </conditionalFormatting>
  <conditionalFormatting sqref="F34:G34">
    <cfRule type="expression" dxfId="30" priority="23">
      <formula>$C$14="Yes"</formula>
    </cfRule>
    <cfRule type="expression" dxfId="29" priority="24">
      <formula>$C$14="No"</formula>
    </cfRule>
  </conditionalFormatting>
  <conditionalFormatting sqref="G34">
    <cfRule type="expression" dxfId="28" priority="7">
      <formula>$C$14="No"</formula>
    </cfRule>
  </conditionalFormatting>
  <dataValidations count="1">
    <dataValidation type="list" showInputMessage="1" showErrorMessage="1" sqref="C14" xr:uid="{F9AD6D48-F8D1-4956-9B03-197E0A55D317}">
      <formula1>"Yes,No"</formula1>
    </dataValidation>
  </dataValidations>
  <hyperlinks>
    <hyperlink ref="D23" r:id="rId1" xr:uid="{FB54AB04-6977-4BBC-9455-D093CA972886}"/>
    <hyperlink ref="D11" r:id="rId2" display="&lt;--Total Living Area from Blackhawk County" xr:uid="{00000000-0004-0000-0000-000001000000}"/>
    <hyperlink ref="D10" r:id="rId3" display="&lt;--Total Living Area from Blackhawk County" xr:uid="{7A5B6B3E-037E-4CE5-A1DF-1E4DBF51D72D}"/>
    <hyperlink ref="D24" r:id="rId4" display="&lt;-- Heating capacity at 47F (source AHRI data)" xr:uid="{235A0CC3-FA96-4A71-9679-74B38525DDE6}"/>
    <hyperlink ref="D25" r:id="rId5" display="&lt;-- Heating capacity at 47F (source AHRI data)" xr:uid="{3B334D3F-0A27-4823-B055-44953D8EE2E2}"/>
    <hyperlink ref="F26:H27" r:id="rId6" display="Manual S insight (click to open) " xr:uid="{385AE7BC-7FBB-4C62-8766-46E26DC54411}"/>
  </hyperlinks>
  <pageMargins left="0.7" right="0.7" top="0.75" bottom="0.75" header="0.3" footer="0.3"/>
  <pageSetup orientation="portrait" r:id="rId7"/>
  <drawing r:id="rId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8535B502-0720-4B45-9BF3-842E017746BB}">
            <xm:f>NOT(ISERROR(SEARCH("CAUTION",G29)))</xm:f>
            <xm:f>"CAUTION"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7" operator="containsText" id="{CAA9CBA7-EEB3-4CF7-ACAF-3021CA73E2FB}">
            <xm:f>NOT(ISERROR(SEARCH("NO",G29)))</xm:f>
            <xm:f>"NO"</xm:f>
            <x14:dxf>
              <fill>
                <patternFill>
                  <bgColor theme="7"/>
                </patternFill>
              </fill>
            </x14:dxf>
          </x14:cfRule>
          <x14:cfRule type="containsText" priority="18" operator="containsText" id="{7F58F9C3-2A3C-4AFB-94F8-25A7CD1AEA72}">
            <xm:f>NOT(ISERROR(SEARCH("YES",G29)))</xm:f>
            <xm:f>"YES"</xm:f>
            <x14:dxf>
              <fill>
                <patternFill>
                  <bgColor theme="9"/>
                </patternFill>
              </fill>
            </x14:dxf>
          </x14:cfRule>
          <xm:sqref>G29:H31</xm:sqref>
        </x14:conditionalFormatting>
        <x14:conditionalFormatting xmlns:xm="http://schemas.microsoft.com/office/excel/2006/main">
          <x14:cfRule type="containsText" priority="13" operator="containsText" id="{2890B2B1-BCFF-4634-8C6B-294D66D75F1D}">
            <xm:f>NOT(ISERROR(SEARCH("NO",G33)))</xm:f>
            <xm:f>"NO"</xm:f>
            <x14:dxf>
              <fill>
                <patternFill>
                  <bgColor theme="7"/>
                </patternFill>
              </fill>
            </x14:dxf>
          </x14:cfRule>
          <x14:cfRule type="containsText" priority="14" operator="containsText" id="{29DD2F77-C94D-4065-8F98-8887F87CA6D5}">
            <xm:f>NOT(ISERROR(SEARCH("YES",G33)))</xm:f>
            <xm:f>"YES"</xm:f>
            <x14:dxf>
              <fill>
                <patternFill>
                  <bgColor theme="9"/>
                </patternFill>
              </fill>
            </x14:dxf>
          </x14:cfRule>
          <xm:sqref>G33:H34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DB294632-2FA1-4153-9A1A-EFF7EA4833BE}">
          <x14:formula1>
            <xm:f>A!$G$69:$G$71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BEED9-D508-42E9-BBB2-472417420454}">
  <dimension ref="B1:O41"/>
  <sheetViews>
    <sheetView showGridLines="0" zoomScale="55" zoomScaleNormal="55" workbookViewId="0">
      <selection activeCell="G20" sqref="G20"/>
    </sheetView>
  </sheetViews>
  <sheetFormatPr defaultColWidth="9.140625" defaultRowHeight="15" x14ac:dyDescent="0.25"/>
  <cols>
    <col min="1" max="1" width="1.42578125" style="1" customWidth="1"/>
    <col min="2" max="2" width="72.85546875" style="1" bestFit="1" customWidth="1"/>
    <col min="3" max="3" width="48.42578125" style="1" bestFit="1" customWidth="1"/>
    <col min="4" max="4" width="56.140625" style="1" customWidth="1"/>
    <col min="5" max="5" width="10" style="1" customWidth="1"/>
    <col min="6" max="6" width="44" style="1" bestFit="1" customWidth="1"/>
    <col min="7" max="7" width="17.28515625" style="1" customWidth="1"/>
    <col min="8" max="8" width="23.28515625" style="1" customWidth="1"/>
    <col min="9" max="9" width="15.28515625" style="1" customWidth="1"/>
    <col min="10" max="16384" width="9.140625" style="1"/>
  </cols>
  <sheetData>
    <row r="1" spans="2:10" ht="8.4499999999999993" customHeight="1" x14ac:dyDescent="0.25"/>
    <row r="2" spans="2:10" x14ac:dyDescent="0.25">
      <c r="B2" s="25" t="s">
        <v>0</v>
      </c>
    </row>
    <row r="3" spans="2:10" ht="20.25" customHeight="1" x14ac:dyDescent="0.25">
      <c r="B3" s="206" t="s">
        <v>1</v>
      </c>
      <c r="C3" s="206"/>
      <c r="D3" s="206"/>
    </row>
    <row r="4" spans="2:10" ht="15" customHeight="1" x14ac:dyDescent="0.25">
      <c r="B4" s="206" t="s">
        <v>2</v>
      </c>
      <c r="C4" s="223"/>
      <c r="D4" s="198" t="s">
        <v>168</v>
      </c>
    </row>
    <row r="5" spans="2:10" x14ac:dyDescent="0.25">
      <c r="B5" s="154"/>
      <c r="C5" s="154"/>
      <c r="D5" s="154"/>
    </row>
    <row r="6" spans="2:10" x14ac:dyDescent="0.25">
      <c r="B6" s="25" t="s">
        <v>3</v>
      </c>
      <c r="C6" s="154"/>
      <c r="D6" s="154"/>
    </row>
    <row r="7" spans="2:10" ht="21" x14ac:dyDescent="0.25">
      <c r="B7" s="155" t="s">
        <v>111</v>
      </c>
      <c r="C7" s="207" t="s">
        <v>167</v>
      </c>
      <c r="D7" s="207"/>
    </row>
    <row r="8" spans="2:10" x14ac:dyDescent="0.25">
      <c r="D8" s="16"/>
    </row>
    <row r="9" spans="2:10" x14ac:dyDescent="0.25">
      <c r="B9" s="25" t="s">
        <v>47</v>
      </c>
      <c r="C9" s="25"/>
      <c r="D9" s="16"/>
    </row>
    <row r="10" spans="2:10" ht="21" x14ac:dyDescent="0.35">
      <c r="B10" s="156" t="s">
        <v>4</v>
      </c>
      <c r="C10" s="179">
        <v>1954</v>
      </c>
      <c r="D10" s="157" t="s">
        <v>162</v>
      </c>
    </row>
    <row r="11" spans="2:10" ht="21" x14ac:dyDescent="0.35">
      <c r="B11" s="35" t="s">
        <v>123</v>
      </c>
      <c r="C11" s="180">
        <v>2502</v>
      </c>
      <c r="D11" s="157" t="s">
        <v>163</v>
      </c>
    </row>
    <row r="12" spans="2:10" ht="21" x14ac:dyDescent="0.35">
      <c r="F12" s="158"/>
      <c r="G12" s="159"/>
      <c r="H12" s="160"/>
      <c r="I12"/>
      <c r="J12"/>
    </row>
    <row r="13" spans="2:10" x14ac:dyDescent="0.25">
      <c r="B13" s="25" t="s">
        <v>46</v>
      </c>
      <c r="C13" s="25"/>
      <c r="F13"/>
      <c r="G13" s="29"/>
      <c r="H13" s="161"/>
      <c r="I13"/>
      <c r="J13"/>
    </row>
    <row r="14" spans="2:10" ht="21" x14ac:dyDescent="0.35">
      <c r="B14" s="19" t="s">
        <v>104</v>
      </c>
      <c r="C14" s="181" t="s">
        <v>164</v>
      </c>
      <c r="D14" s="2" t="s">
        <v>38</v>
      </c>
      <c r="F14"/>
      <c r="G14" s="29"/>
      <c r="H14"/>
      <c r="I14"/>
      <c r="J14"/>
    </row>
    <row r="15" spans="2:10" ht="21" x14ac:dyDescent="0.35">
      <c r="B15" s="20" t="s">
        <v>96</v>
      </c>
      <c r="C15" s="182" t="s">
        <v>56</v>
      </c>
      <c r="D15" s="2" t="s">
        <v>95</v>
      </c>
      <c r="G15" s="24"/>
    </row>
    <row r="16" spans="2:10" ht="12.75" customHeight="1" x14ac:dyDescent="0.35">
      <c r="B16" s="21"/>
      <c r="C16" s="183"/>
      <c r="D16" s="2"/>
      <c r="G16" s="24"/>
    </row>
    <row r="17" spans="2:15" ht="21" customHeight="1" thickBot="1" x14ac:dyDescent="0.3">
      <c r="B17" s="26" t="s">
        <v>166</v>
      </c>
      <c r="C17" s="184"/>
      <c r="D17" s="2"/>
      <c r="F17" s="26" t="s">
        <v>114</v>
      </c>
      <c r="G17" s="24"/>
    </row>
    <row r="18" spans="2:15" ht="21" x14ac:dyDescent="0.35">
      <c r="B18" s="23" t="str">
        <f>+IF(ISBLANK(C14), "Heating (btu/hr) ",IF(C14="Yes","Backup heating [Heating (btu/hr)]", "Furnace [Heating (btu/hr)]"))</f>
        <v>Backup heating [Heating (btu/hr)]</v>
      </c>
      <c r="C18" s="180">
        <v>68000</v>
      </c>
      <c r="D18" s="2" t="s">
        <v>66</v>
      </c>
      <c r="F18" s="162" t="s">
        <v>112</v>
      </c>
      <c r="G18" s="64">
        <v>20</v>
      </c>
    </row>
    <row r="19" spans="2:15" ht="21.75" thickBot="1" x14ac:dyDescent="0.4">
      <c r="B19" s="23" t="str">
        <f>+IF(ISBLANK(C14), "Cooling sensible (btu/hr)",IF(C14="Yes","HP [Cooling sensible (btu/hr)]", "AC [Cooling sensible (btu/hr)]"))</f>
        <v>HP [Cooling sensible (btu/hr)]</v>
      </c>
      <c r="C19" s="180">
        <v>30000</v>
      </c>
      <c r="D19" s="2" t="s">
        <v>67</v>
      </c>
      <c r="F19" s="163" t="s">
        <v>113</v>
      </c>
      <c r="G19" s="164">
        <f>+(G18*3412.142)</f>
        <v>68242.84</v>
      </c>
    </row>
    <row r="20" spans="2:15" ht="21" x14ac:dyDescent="0.35">
      <c r="B20" s="3" t="str">
        <f>+IF(ISBLANK(C14), "Cooling latent (btu/hr)",IF(C14="Yes","HP [Cooling latent (btu/hr)]", "AC [Cooling latent (btu/hr)]"))</f>
        <v>HP [Cooling latent (btu/hr)]</v>
      </c>
      <c r="C20" s="185">
        <v>2800</v>
      </c>
      <c r="D20" s="2" t="s">
        <v>68</v>
      </c>
    </row>
    <row r="22" spans="2:15" x14ac:dyDescent="0.25">
      <c r="B22" s="49" t="s">
        <v>65</v>
      </c>
      <c r="D22" s="195"/>
    </row>
    <row r="23" spans="2:15" ht="21" customHeight="1" x14ac:dyDescent="0.35">
      <c r="B23" s="35" t="s">
        <v>110</v>
      </c>
      <c r="C23" s="180">
        <v>29200</v>
      </c>
      <c r="D23" s="196" t="s">
        <v>109</v>
      </c>
      <c r="E23" s="165"/>
      <c r="F23" s="166" t="str">
        <f>IF($C$14="No","",IF(C23&gt;$C$18,"Greater than Nominal size",""))</f>
        <v/>
      </c>
      <c r="I23" s="190"/>
    </row>
    <row r="24" spans="2:15" ht="21" x14ac:dyDescent="0.35">
      <c r="B24" s="35" t="s">
        <v>119</v>
      </c>
      <c r="C24" s="180">
        <v>26200</v>
      </c>
      <c r="D24" s="196" t="s">
        <v>108</v>
      </c>
      <c r="E24" s="165" t="str">
        <f>+IF($C$14="No","",IF(C24&gt;$C$23,"ERROR",""))</f>
        <v/>
      </c>
      <c r="F24" s="166" t="str">
        <f>IF($C$14="No","",IF(C24&gt;$C$23,"Greater than Nominal size",""))</f>
        <v/>
      </c>
    </row>
    <row r="25" spans="2:15" ht="21.75" thickBot="1" x14ac:dyDescent="0.4">
      <c r="B25" s="35" t="s">
        <v>118</v>
      </c>
      <c r="C25" s="180">
        <v>25000</v>
      </c>
      <c r="D25" s="196" t="s">
        <v>117</v>
      </c>
      <c r="E25" s="165" t="str">
        <f>+IF($C$14="No","",IF(C25&gt;$C$23,"ERROR",""))</f>
        <v/>
      </c>
      <c r="F25" s="166" t="str">
        <f>IF($C$14="No","",IF(C25&gt;$C$23,"Greater than Nominal size",""))</f>
        <v/>
      </c>
      <c r="K25" s="24"/>
      <c r="L25" s="24"/>
      <c r="M25" s="24"/>
      <c r="N25" s="24"/>
      <c r="O25" s="24"/>
    </row>
    <row r="26" spans="2:15" ht="15" customHeight="1" x14ac:dyDescent="0.25">
      <c r="F26" s="200" t="s">
        <v>165</v>
      </c>
      <c r="G26" s="201"/>
      <c r="H26" s="202"/>
      <c r="I26" s="199"/>
      <c r="J26" s="199"/>
      <c r="M26" s="24"/>
      <c r="N26" s="24"/>
      <c r="O26" s="24"/>
    </row>
    <row r="27" spans="2:15" ht="24" thickBot="1" x14ac:dyDescent="0.4">
      <c r="B27" s="194" t="s">
        <v>7</v>
      </c>
      <c r="F27" s="203"/>
      <c r="G27" s="204"/>
      <c r="H27" s="205"/>
      <c r="I27" s="199"/>
      <c r="J27" s="199"/>
      <c r="M27" s="24"/>
      <c r="N27" s="24"/>
      <c r="O27" s="24"/>
    </row>
    <row r="28" spans="2:15" ht="18.75" customHeight="1" x14ac:dyDescent="0.25">
      <c r="B28" s="167"/>
      <c r="F28" s="189"/>
      <c r="G28" s="192" t="s">
        <v>100</v>
      </c>
      <c r="H28" s="193" t="s">
        <v>101</v>
      </c>
      <c r="I28" s="24"/>
      <c r="J28" s="24"/>
      <c r="L28"/>
      <c r="M28" s="24"/>
      <c r="N28" s="24"/>
      <c r="O28" s="24"/>
    </row>
    <row r="29" spans="2:15" ht="19.5" customHeight="1" x14ac:dyDescent="0.25">
      <c r="B29" s="208" t="str">
        <f>+IF(ISBLANK(C14), "Air Conditioner:",IF(C14="NO","Air Conditioner:", "Heat Pump (Cooling)"))</f>
        <v>Heat Pump (Cooling)</v>
      </c>
      <c r="C29" s="211" t="s">
        <v>169</v>
      </c>
      <c r="D29" s="212"/>
      <c r="F29" s="186" t="s">
        <v>59</v>
      </c>
      <c r="G29" s="153" t="s">
        <v>171</v>
      </c>
      <c r="H29" s="217" t="s">
        <v>171</v>
      </c>
      <c r="I29" s="24"/>
      <c r="J29" s="24"/>
    </row>
    <row r="30" spans="2:15" ht="19.5" customHeight="1" x14ac:dyDescent="0.25">
      <c r="B30" s="209"/>
      <c r="C30" s="213"/>
      <c r="D30" s="214"/>
      <c r="F30" s="186" t="s">
        <v>58</v>
      </c>
      <c r="G30" s="153" t="s">
        <v>172</v>
      </c>
      <c r="H30" s="218"/>
    </row>
    <row r="31" spans="2:15" ht="18.75" customHeight="1" x14ac:dyDescent="0.25">
      <c r="B31" s="210"/>
      <c r="C31" s="215"/>
      <c r="D31" s="216"/>
      <c r="F31" s="186" t="s">
        <v>63</v>
      </c>
      <c r="G31" s="153" t="s">
        <v>171</v>
      </c>
      <c r="H31" s="219"/>
    </row>
    <row r="32" spans="2:15" ht="21" x14ac:dyDescent="0.25">
      <c r="B32" s="168"/>
      <c r="C32" s="169"/>
      <c r="D32" s="169"/>
      <c r="F32" s="187"/>
      <c r="G32" s="191"/>
      <c r="H32" s="170"/>
    </row>
    <row r="33" spans="2:8" ht="20.25" customHeight="1" x14ac:dyDescent="0.25">
      <c r="B33" s="220" t="str">
        <f>+IF(ISBLANK(C14), "Heat Pump/Furnace:",IF(C14="NO","Furnace:", "Heat Pump (Heating) + Supp heat:"))</f>
        <v>Heat Pump (Heating) + Supp heat:</v>
      </c>
      <c r="C33" s="211" t="s">
        <v>170</v>
      </c>
      <c r="D33" s="212"/>
      <c r="F33" s="186" t="s">
        <v>98</v>
      </c>
      <c r="G33" s="153" t="s">
        <v>173</v>
      </c>
      <c r="H33" s="217" t="s">
        <v>173</v>
      </c>
    </row>
    <row r="34" spans="2:8" ht="30" customHeight="1" thickBot="1" x14ac:dyDescent="0.3">
      <c r="B34" s="221"/>
      <c r="C34" s="215"/>
      <c r="D34" s="216"/>
      <c r="F34" s="188" t="s">
        <v>102</v>
      </c>
      <c r="G34" s="171" t="s">
        <v>171</v>
      </c>
      <c r="H34" s="222"/>
    </row>
    <row r="36" spans="2:8" ht="21" x14ac:dyDescent="0.25">
      <c r="B36" s="172"/>
      <c r="C36" s="173"/>
      <c r="D36" s="173"/>
    </row>
    <row r="37" spans="2:8" ht="15.75" x14ac:dyDescent="0.25">
      <c r="B37" s="174" t="s">
        <v>9</v>
      </c>
    </row>
    <row r="38" spans="2:8" x14ac:dyDescent="0.25">
      <c r="B38" s="206" t="s">
        <v>10</v>
      </c>
      <c r="C38" s="206"/>
      <c r="D38" s="206"/>
    </row>
    <row r="39" spans="2:8" x14ac:dyDescent="0.25">
      <c r="B39" s="2" t="str">
        <f>A!B33</f>
        <v>Version: 6.3.0</v>
      </c>
    </row>
    <row r="40" spans="2:8" x14ac:dyDescent="0.25">
      <c r="B40" s="5"/>
      <c r="C40" s="175"/>
      <c r="D40" s="176"/>
      <c r="E40" s="176"/>
    </row>
    <row r="41" spans="2:8" x14ac:dyDescent="0.25">
      <c r="B41" s="5"/>
      <c r="C41" s="177"/>
      <c r="D41" s="178"/>
      <c r="E41" s="178"/>
    </row>
  </sheetData>
  <sheetProtection algorithmName="SHA-512" hashValue="q+ieJPDrWD+cqgYzfINg02ncTIAzUl9Qn26+CqAJIQDo4CaY73IZWNzVafSZw46oIktcW237pntIvrNDmJUBug==" saltValue="aH8haC9d+C4KxR2cjtleTQ==" spinCount="100000" sheet="1" selectLockedCells="1" selectUnlockedCells="1"/>
  <mergeCells count="12">
    <mergeCell ref="I26:J27"/>
    <mergeCell ref="B29:B31"/>
    <mergeCell ref="C29:D31"/>
    <mergeCell ref="H29:H31"/>
    <mergeCell ref="B4:C4"/>
    <mergeCell ref="B33:B34"/>
    <mergeCell ref="C33:D34"/>
    <mergeCell ref="H33:H34"/>
    <mergeCell ref="B38:D38"/>
    <mergeCell ref="B3:D3"/>
    <mergeCell ref="C7:D7"/>
    <mergeCell ref="F26:H27"/>
  </mergeCells>
  <conditionalFormatting sqref="B22:D25">
    <cfRule type="expression" dxfId="22" priority="19">
      <formula>$C$14="No"</formula>
    </cfRule>
  </conditionalFormatting>
  <conditionalFormatting sqref="C23:C25">
    <cfRule type="expression" dxfId="21" priority="17">
      <formula>$C$14="Yes"</formula>
    </cfRule>
  </conditionalFormatting>
  <conditionalFormatting sqref="C29:D34">
    <cfRule type="containsText" dxfId="20" priority="9" operator="containsText" text="Sized properly. Only Inverter AC units are eligible for rebate">
      <formula>NOT(ISERROR(SEARCH("Sized properly. Only Inverter AC units are eligible for rebate",C29)))</formula>
    </cfRule>
    <cfRule type="containsText" dxfId="19" priority="20" operator="containsText" text="NOT">
      <formula>NOT(ISERROR(SEARCH("NOT",C29)))</formula>
    </cfRule>
    <cfRule type="containsText" dxfId="18" priority="21" operator="containsText" text="Sizing approved for rebate">
      <formula>NOT(ISERROR(SEARCH("Sizing approved for rebate",C29)))</formula>
    </cfRule>
  </conditionalFormatting>
  <conditionalFormatting sqref="E23:E25">
    <cfRule type="containsText" dxfId="17" priority="10" operator="containsText" text="ERROR">
      <formula>NOT(ISERROR(SEARCH("ERROR",E23)))</formula>
    </cfRule>
  </conditionalFormatting>
  <conditionalFormatting sqref="F34:G34">
    <cfRule type="expression" dxfId="16" priority="7">
      <formula>$C$14="Yes"</formula>
    </cfRule>
    <cfRule type="expression" dxfId="15" priority="8">
      <formula>$C$14="No"</formula>
    </cfRule>
  </conditionalFormatting>
  <conditionalFormatting sqref="G34">
    <cfRule type="expression" dxfId="14" priority="1">
      <formula>$C$14="No"</formula>
    </cfRule>
  </conditionalFormatting>
  <dataValidations disablePrompts="1" count="1">
    <dataValidation type="list" showInputMessage="1" showErrorMessage="1" sqref="C14" xr:uid="{D57716BA-56C7-463D-BEFC-258608E665FD}">
      <formula1>"Yes,No"</formula1>
    </dataValidation>
  </dataValidations>
  <hyperlinks>
    <hyperlink ref="D23" r:id="rId1" xr:uid="{5C13497D-2589-4D0A-93C2-ED3E3EEF4D47}"/>
    <hyperlink ref="D11" r:id="rId2" display="&lt;--Total Living Area from Blackhawk County" xr:uid="{AC368822-2992-4A1F-AADC-92AD7F3B46A8}"/>
    <hyperlink ref="D10" r:id="rId3" display="&lt;--Total Living Area from Blackhawk County" xr:uid="{59B4FAC4-D576-4C72-B75B-486F70F005A5}"/>
    <hyperlink ref="D24" r:id="rId4" display="&lt;-- Heating capacity at 47F (source AHRI data)" xr:uid="{09FEB9BE-0264-4DB5-BFA2-62A8E7EAD209}"/>
    <hyperlink ref="D25" r:id="rId5" display="&lt;-- Heating capacity at 47F (source AHRI data)" xr:uid="{A8E128AF-63AB-493F-87F5-B31F7683F549}"/>
    <hyperlink ref="F26:H27" r:id="rId6" display="Manual S insight (click to open) " xr:uid="{9ACBE60C-E439-4B1C-935E-342073D6AF06}"/>
  </hyperlinks>
  <pageMargins left="0.7" right="0.7" top="0.75" bottom="0.75" header="0.3" footer="0.3"/>
  <pageSetup orientation="portrait" r:id="rId7"/>
  <drawing r:id="rId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BADDA7E1-E90E-4A80-9D20-94CB2B5AA5DE}">
            <xm:f>NOT(ISERROR(SEARCH("CAUTION",G29)))</xm:f>
            <xm:f>"CAUTION"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" operator="containsText" id="{E6302258-B570-446C-835B-14212B9B4627}">
            <xm:f>NOT(ISERROR(SEARCH("NO",G29)))</xm:f>
            <xm:f>"NO"</xm:f>
            <x14:dxf>
              <fill>
                <patternFill>
                  <bgColor theme="7"/>
                </patternFill>
              </fill>
            </x14:dxf>
          </x14:cfRule>
          <x14:cfRule type="containsText" priority="6" operator="containsText" id="{2DBDC8B9-17CF-4E3D-BB81-5403D658E141}">
            <xm:f>NOT(ISERROR(SEARCH("YES",G29)))</xm:f>
            <xm:f>"YES"</xm:f>
            <x14:dxf>
              <fill>
                <patternFill>
                  <bgColor theme="9"/>
                </patternFill>
              </fill>
            </x14:dxf>
          </x14:cfRule>
          <xm:sqref>G29:H31</xm:sqref>
        </x14:conditionalFormatting>
        <x14:conditionalFormatting xmlns:xm="http://schemas.microsoft.com/office/excel/2006/main">
          <x14:cfRule type="containsText" priority="3" operator="containsText" id="{243E9ED1-62C1-4F15-AD7B-BBE620F46780}">
            <xm:f>NOT(ISERROR(SEARCH("NO",G33)))</xm:f>
            <xm:f>"NO"</xm:f>
            <x14:dxf>
              <fill>
                <patternFill>
                  <bgColor theme="7"/>
                </patternFill>
              </fill>
            </x14:dxf>
          </x14:cfRule>
          <x14:cfRule type="containsText" priority="4" operator="containsText" id="{5A11C89A-E5B8-4147-8412-B74EA319564D}">
            <xm:f>NOT(ISERROR(SEARCH("YES",G33)))</xm:f>
            <xm:f>"YES"</xm:f>
            <x14:dxf>
              <fill>
                <patternFill>
                  <bgColor theme="9"/>
                </patternFill>
              </fill>
            </x14:dxf>
          </x14:cfRule>
          <xm:sqref>G33:H34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 xr:uid="{900DC247-D644-407E-902E-D92EA64ABC50}">
          <x14:formula1>
            <xm:f>A!$G$69:$G$71</xm:f>
          </x14:formula1>
          <xm:sqref>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U108"/>
  <sheetViews>
    <sheetView showGridLines="0" topLeftCell="B2" zoomScale="70" zoomScaleNormal="70" workbookViewId="0">
      <selection activeCell="C26" sqref="C26:D26"/>
    </sheetView>
  </sheetViews>
  <sheetFormatPr defaultColWidth="9.140625" defaultRowHeight="15" x14ac:dyDescent="0.25"/>
  <cols>
    <col min="1" max="1" width="1.42578125" style="1" customWidth="1"/>
    <col min="2" max="2" width="55" style="1" customWidth="1"/>
    <col min="3" max="3" width="47" style="1" customWidth="1"/>
    <col min="4" max="4" width="37" style="1" customWidth="1"/>
    <col min="5" max="5" width="23.28515625" style="1" customWidth="1"/>
    <col min="6" max="6" width="34.140625" style="1" bestFit="1" customWidth="1"/>
    <col min="7" max="7" width="25.85546875" style="1" customWidth="1"/>
    <col min="8" max="8" width="19.140625" style="1" bestFit="1" customWidth="1"/>
    <col min="9" max="9" width="20.42578125" style="1" customWidth="1"/>
    <col min="10" max="10" width="18.28515625" style="1" customWidth="1"/>
    <col min="11" max="11" width="17.42578125" style="1" customWidth="1"/>
    <col min="12" max="12" width="16.85546875" style="1" bestFit="1" customWidth="1"/>
    <col min="13" max="13" width="23" style="1" customWidth="1"/>
    <col min="14" max="14" width="27.85546875" style="1" bestFit="1" customWidth="1"/>
    <col min="15" max="15" width="18.7109375" style="1" customWidth="1"/>
    <col min="16" max="16" width="17.7109375" style="1" customWidth="1"/>
    <col min="17" max="18" width="16.42578125" style="1" bestFit="1" customWidth="1"/>
    <col min="19" max="19" width="16.42578125" style="1" customWidth="1"/>
    <col min="20" max="20" width="16.7109375" style="1" bestFit="1" customWidth="1"/>
    <col min="21" max="21" width="16.7109375" style="1" customWidth="1"/>
    <col min="22" max="16384" width="9.140625" style="1"/>
  </cols>
  <sheetData>
    <row r="1" spans="2:12" x14ac:dyDescent="0.25">
      <c r="B1" s="6"/>
      <c r="C1" s="6"/>
      <c r="D1" s="6"/>
    </row>
    <row r="2" spans="2:12" ht="15.75" x14ac:dyDescent="0.25">
      <c r="B2" s="7" t="s">
        <v>0</v>
      </c>
      <c r="C2" s="6"/>
      <c r="D2" s="6"/>
    </row>
    <row r="3" spans="2:12" x14ac:dyDescent="0.25">
      <c r="B3" s="230" t="s">
        <v>1</v>
      </c>
      <c r="C3" s="230"/>
      <c r="D3" s="230"/>
    </row>
    <row r="4" spans="2:12" x14ac:dyDescent="0.25">
      <c r="B4" s="230" t="s">
        <v>11</v>
      </c>
      <c r="C4" s="230"/>
      <c r="D4" s="230"/>
    </row>
    <row r="5" spans="2:12" x14ac:dyDescent="0.25">
      <c r="B5" s="6"/>
      <c r="C5" s="6"/>
      <c r="D5" s="6"/>
    </row>
    <row r="6" spans="2:12" x14ac:dyDescent="0.25">
      <c r="B6" s="25" t="s">
        <v>47</v>
      </c>
      <c r="C6" s="25"/>
      <c r="D6" s="16"/>
    </row>
    <row r="7" spans="2:12" ht="21" x14ac:dyDescent="0.35">
      <c r="B7" s="56" t="s">
        <v>4</v>
      </c>
      <c r="C7" s="57" t="str">
        <f>IF(ISBLANK('HVAC sizing letter'!C10),"",'HVAC sizing letter'!C10)</f>
        <v/>
      </c>
      <c r="D7" s="15" t="s">
        <v>5</v>
      </c>
    </row>
    <row r="8" spans="2:12" ht="21" x14ac:dyDescent="0.35">
      <c r="B8" s="58" t="s">
        <v>12</v>
      </c>
      <c r="C8" s="59" t="str">
        <f>IF(ISBLANK('HVAC sizing letter'!C11),"",'HVAC sizing letter'!C11)</f>
        <v/>
      </c>
      <c r="D8" s="15" t="s">
        <v>116</v>
      </c>
    </row>
    <row r="10" spans="2:12" x14ac:dyDescent="0.25">
      <c r="B10" s="25" t="s">
        <v>46</v>
      </c>
      <c r="C10" s="25"/>
    </row>
    <row r="11" spans="2:12" ht="21" x14ac:dyDescent="0.35">
      <c r="B11" s="19" t="s">
        <v>13</v>
      </c>
      <c r="C11" s="18" t="str">
        <f>IF(ISBLANK('HVAC sizing letter'!C14),"",'HVAC sizing letter'!C14)</f>
        <v/>
      </c>
      <c r="D11" s="2" t="s">
        <v>38</v>
      </c>
    </row>
    <row r="12" spans="2:12" ht="21" x14ac:dyDescent="0.35">
      <c r="B12" s="20" t="s">
        <v>53</v>
      </c>
      <c r="C12" s="18" t="str">
        <f>IF(ISBLANK('HVAC sizing letter'!C15),"",'HVAC sizing letter'!C15)</f>
        <v/>
      </c>
      <c r="D12" s="2" t="s">
        <v>42</v>
      </c>
    </row>
    <row r="13" spans="2:12" ht="21" x14ac:dyDescent="0.35">
      <c r="B13" s="21"/>
      <c r="C13" s="22"/>
      <c r="D13" s="2"/>
      <c r="K13" s="10"/>
      <c r="L13" s="22"/>
    </row>
    <row r="14" spans="2:12" ht="21" x14ac:dyDescent="0.35">
      <c r="B14" s="26" t="s">
        <v>52</v>
      </c>
      <c r="C14" s="26"/>
      <c r="D14" s="2"/>
      <c r="K14" s="10"/>
    </row>
    <row r="15" spans="2:12" ht="21" x14ac:dyDescent="0.35">
      <c r="B15" s="23" t="s">
        <v>49</v>
      </c>
      <c r="C15" s="18" t="str">
        <f>IF(ISBLANK('HVAC sizing letter'!C18),"",'HVAC sizing letter'!C18)</f>
        <v/>
      </c>
      <c r="D15" s="2" t="s">
        <v>6</v>
      </c>
    </row>
    <row r="16" spans="2:12" ht="21" x14ac:dyDescent="0.35">
      <c r="B16" s="23" t="s">
        <v>50</v>
      </c>
      <c r="C16" s="18" t="str">
        <f>IF(ISBLANK('HVAC sizing letter'!C19),"",'HVAC sizing letter'!C19)</f>
        <v/>
      </c>
      <c r="D16" s="2" t="s">
        <v>6</v>
      </c>
    </row>
    <row r="17" spans="2:8" ht="21" x14ac:dyDescent="0.35">
      <c r="B17" s="3" t="s">
        <v>51</v>
      </c>
      <c r="C17" s="18" t="str">
        <f>IF(ISBLANK('HVAC sizing letter'!C20),"",'HVAC sizing letter'!C20)</f>
        <v/>
      </c>
      <c r="D17" s="2" t="s">
        <v>6</v>
      </c>
    </row>
    <row r="18" spans="2:8" ht="21" x14ac:dyDescent="0.35">
      <c r="B18" s="21"/>
      <c r="C18" s="22"/>
      <c r="D18" s="8"/>
      <c r="F18" s="4"/>
      <c r="G18" s="27"/>
      <c r="H18" s="2"/>
    </row>
    <row r="19" spans="2:8" ht="21" x14ac:dyDescent="0.35">
      <c r="B19" s="49" t="s">
        <v>65</v>
      </c>
      <c r="F19" s="4"/>
      <c r="G19" s="27"/>
      <c r="H19" s="2"/>
    </row>
    <row r="20" spans="2:8" ht="21" x14ac:dyDescent="0.35">
      <c r="B20" s="35" t="s">
        <v>69</v>
      </c>
      <c r="C20" s="18" t="str">
        <f>IF(ISBLANK('HVAC sizing letter'!C23),"",'HVAC sizing letter'!C23)</f>
        <v/>
      </c>
      <c r="D20" s="48" t="s">
        <v>97</v>
      </c>
      <c r="E20" s="227" t="s">
        <v>107</v>
      </c>
      <c r="F20" s="4"/>
      <c r="G20" s="27"/>
      <c r="H20" s="2"/>
    </row>
    <row r="21" spans="2:8" ht="21" x14ac:dyDescent="0.35">
      <c r="B21" s="35" t="s">
        <v>70</v>
      </c>
      <c r="C21" s="18" t="str">
        <f>IF(ISBLANK('HVAC sizing letter'!C24),"",'HVAC sizing letter'!C24)</f>
        <v/>
      </c>
      <c r="D21" s="48" t="s">
        <v>105</v>
      </c>
      <c r="E21" s="228"/>
      <c r="F21" s="4"/>
      <c r="G21" s="27"/>
      <c r="H21" s="2"/>
    </row>
    <row r="22" spans="2:8" ht="21" x14ac:dyDescent="0.35">
      <c r="B22" s="35" t="s">
        <v>103</v>
      </c>
      <c r="C22" s="18">
        <v>15000</v>
      </c>
      <c r="D22" s="48" t="s">
        <v>106</v>
      </c>
      <c r="E22" s="229"/>
      <c r="F22" s="4"/>
      <c r="G22" s="27"/>
      <c r="H22" s="2"/>
    </row>
    <row r="23" spans="2:8" ht="21" x14ac:dyDescent="0.35">
      <c r="B23" s="21"/>
      <c r="C23" s="22"/>
      <c r="D23" s="8"/>
      <c r="F23" s="4"/>
      <c r="G23" s="27"/>
      <c r="H23" s="2"/>
    </row>
    <row r="24" spans="2:8" ht="15.75" x14ac:dyDescent="0.25">
      <c r="B24" s="7" t="s">
        <v>7</v>
      </c>
      <c r="C24" s="6"/>
      <c r="D24" s="6"/>
    </row>
    <row r="25" spans="2:8" ht="15.75" x14ac:dyDescent="0.25">
      <c r="B25" s="7"/>
      <c r="C25" s="6"/>
      <c r="D25" s="6"/>
    </row>
    <row r="26" spans="2:8" ht="21" x14ac:dyDescent="0.25">
      <c r="B26" s="9" t="s">
        <v>8</v>
      </c>
      <c r="C26" s="231" t="str">
        <f>IF(OR(ISBLANK('HVAC sizing letter'!C10), ISBLANK('HVAC sizing letter'!C11), ISBLANK('HVAC sizing letter'!C14), ISBLANK('HVAC sizing letter'!C15)), "Enter inputs.",
    IF(C11 = "YES",
        IF(OR(ISBLANK('HVAC sizing letter'!C18), ISBLANK('HVAC sizing letter'!C19), ISBLANK('HVAC sizing letter'!C20), ISBLANK('HVAC sizing letter'!C23), ISBLANK('HVAC sizing letter'!C24)), "Enter inputs.",
            IF(L40 = "YES",
                IF(C12 = "Variable speed (Inverter driven)", "Sizing approved for rebate.", "Sizing approved for rebate. CFU recommends inverter-driven technology for heat pumps."),
                "Sizing NOT approved for CFU rebate. Send your HVAC sizing to CFU Energy Services for review. energyservices@cfunet.net"
            )
        ),
        IF(OR(ISBLANK('HVAC sizing letter'!C18), ISBLANK('HVAC sizing letter'!C19), ISBLANK('HVAC sizing letter'!C20)), "Enter inputs.",
            IF(L40 = "YES", "Sizing approved for rebate.", "Sizing NOT approved for CFU rebate. Send your HVAC sizing to CFU Energy Services for review. energyservices@cfunet.net")
        )
    )
)</f>
        <v>Enter inputs.</v>
      </c>
      <c r="D26" s="232"/>
    </row>
    <row r="27" spans="2:8" ht="21" x14ac:dyDescent="0.35">
      <c r="B27" s="10"/>
      <c r="C27" s="28"/>
      <c r="D27" s="28"/>
    </row>
    <row r="28" spans="2:8" ht="21" x14ac:dyDescent="0.25">
      <c r="B28" s="9" t="s">
        <v>71</v>
      </c>
      <c r="C28" s="231" t="str">
        <f>IF(OR(ISBLANK('HVAC sizing letter'!C10), ISBLANK('HVAC sizing letter'!C11), ISBLANK('HVAC sizing letter'!C14), ISBLANK('HVAC sizing letter'!C15)),"Enter inputs.",
     IF(C11="Yes",
        IF(OR(ISBLANK('HVAC sizing letter'!C18), ISBLANK('HVAC sizing letter'!C19), ISBLANK('HVAC sizing letter'!C20), ISBLANK('HVAC sizing letter'!C23), ISBLANK('HVAC sizing letter'!C24)), "Enter inputs.",
                IF(AND(C26="Sizing NOT approved for CFU rebate. Send your HVAC sizing to CFU Energy Servies for review. energyservices@cfunet.net", C11="Yes"),"Cooling size not approved yet",
                      IF(L38="NO","Sizing NOT approved for CFU rebate. Send your HVAC sizing to CFU Energy Servies for review. energyservices@cfunet.net","Sizing approved for rebate"))),
        IF(L38="NO","Sizing NOT approved for CFU rebate. Send your HVAC sizing to CFU Energy Servies for review. energyservices@cfunet.net","Sizing approved for rebate.")))</f>
        <v>Enter inputs.</v>
      </c>
      <c r="D28" s="232"/>
    </row>
    <row r="29" spans="2:8" x14ac:dyDescent="0.25">
      <c r="B29" s="6"/>
      <c r="C29" s="28"/>
      <c r="D29" s="28"/>
    </row>
    <row r="30" spans="2:8" x14ac:dyDescent="0.25">
      <c r="B30" s="6"/>
      <c r="C30" s="6"/>
      <c r="D30" s="6"/>
    </row>
    <row r="31" spans="2:8" ht="15.75" x14ac:dyDescent="0.25">
      <c r="B31" s="11" t="s">
        <v>9</v>
      </c>
      <c r="C31" s="6"/>
      <c r="D31" s="6"/>
    </row>
    <row r="32" spans="2:8" x14ac:dyDescent="0.25">
      <c r="B32" s="230" t="s">
        <v>10</v>
      </c>
      <c r="C32" s="230"/>
      <c r="D32" s="230"/>
    </row>
    <row r="33" spans="2:12" x14ac:dyDescent="0.25">
      <c r="B33" s="8" t="s">
        <v>43</v>
      </c>
      <c r="C33" s="6"/>
      <c r="D33" s="6"/>
    </row>
    <row r="34" spans="2:12" x14ac:dyDescent="0.25">
      <c r="B34" s="6"/>
      <c r="C34" s="6"/>
      <c r="D34" s="6"/>
    </row>
    <row r="35" spans="2:12" x14ac:dyDescent="0.25">
      <c r="B35" s="6"/>
      <c r="C35" s="6"/>
      <c r="D35" s="6"/>
      <c r="F35" s="24"/>
      <c r="G35" s="36"/>
      <c r="H35" s="24"/>
    </row>
    <row r="36" spans="2:12" x14ac:dyDescent="0.25">
      <c r="F36" s="24"/>
      <c r="G36" s="24"/>
      <c r="H36" s="24"/>
    </row>
    <row r="37" spans="2:12" ht="30" x14ac:dyDescent="0.25">
      <c r="B37" s="6"/>
      <c r="C37" s="28" t="s">
        <v>14</v>
      </c>
      <c r="D37" s="28" t="s">
        <v>15</v>
      </c>
      <c r="G37" s="33" t="s">
        <v>57</v>
      </c>
      <c r="H37" s="34" t="s">
        <v>61</v>
      </c>
      <c r="I37" s="34" t="s">
        <v>62</v>
      </c>
      <c r="J37" s="33" t="s">
        <v>48</v>
      </c>
      <c r="K37" s="34" t="s">
        <v>94</v>
      </c>
      <c r="L37" s="34" t="s">
        <v>64</v>
      </c>
    </row>
    <row r="38" spans="2:12" x14ac:dyDescent="0.25">
      <c r="B38" s="6" t="s">
        <v>16</v>
      </c>
      <c r="C38" s="62" t="e">
        <f>VLOOKUP(C8,K50:L55,2,TRUE)</f>
        <v>#N/A</v>
      </c>
      <c r="D38" s="62" t="e">
        <f>VLOOKUP(C8,K60:L65,2,TRUE)</f>
        <v>#N/A</v>
      </c>
      <c r="F38" s="51" t="s">
        <v>60</v>
      </c>
      <c r="G38" s="50" t="e">
        <f>+(D39)</f>
        <v>#VALUE!</v>
      </c>
      <c r="H38" s="32">
        <f>+(1)</f>
        <v>1</v>
      </c>
      <c r="I38" s="32">
        <f>+IF(C11="Yes",NA(),1.4)</f>
        <v>1.4</v>
      </c>
      <c r="J38" s="50" t="str">
        <f>+($C$15)</f>
        <v/>
      </c>
      <c r="K38" s="31" t="str">
        <f>IF(C11 = "YES",
    IF(OR(ISBLANK('HVAC sizing letter'!C10), ISBLANK('HVAC sizing letter'!C11), ISBLANK('HVAC sizing letter'!C14), ISBLANK('HVAC sizing letter'!C15), ISBLANK('HVAC sizing letter'!C18), ISBLANK('HVAC sizing letter'!C19), ISBLANK('HVAC sizing letter'!C20), ISBLANK('HVAC sizing letter'!C23), ISBLANK('HVAC sizing letter'!C24)),
        "N/A",
        IF(J38 &gt;= H38 * G38, "YES", "NO")
    ),
    IF(OR(ISBLANK('HVAC sizing letter'!C10), ISBLANK('HVAC sizing letter'!C11), ISBLANK('HVAC sizing letter'!C14), ISBLANK('HVAC sizing letter'!C15), ISBLANK('HVAC sizing letter'!C18), ISBLANK('HVAC sizing letter'!C19), ISBLANK('HVAC sizing letter'!C20)),
        "N/A",
        IF(AND(J38 &gt;= H38 * G38, J38 &lt;= CEILING(I38 * G38,10000)), "YES", "NO")
    )
)</f>
        <v>N/A</v>
      </c>
      <c r="L38" s="225" t="str">
        <f>IF(C11 = "YES",
    IF(OR(ISBLANK('HVAC sizing letter'!C10), ISBLANK('HVAC sizing letter'!C11), ISBLANK('HVAC sizing letter'!C14), ISBLANK('HVAC sizing letter'!C15), ISBLANK('HVAC sizing letter'!C18), ISBLANK('HVAC sizing letter'!C19), ISBLANK('HVAC sizing letter'!C20), ISBLANK('HVAC sizing letter'!C23), ISBLANK('HVAC sizing letter'!C24)),
        "N/A",
        IF(AND(K38="YES",K39="YES"),"YES","NO")
    ),
    IF(OR(ISBLANK('HVAC sizing letter'!C10), ISBLANK('HVAC sizing letter'!C11), ISBLANK('HVAC sizing letter'!C14), ISBLANK('HVAC sizing letter'!C15), ISBLANK('HVAC sizing letter'!C18), ISBLANK('HVAC sizing letter'!C19), ISBLANK('HVAC sizing letter'!C20)),
        "N/A",
        IF(K38="YES","YES","NO")
    )
)</f>
        <v>N/A</v>
      </c>
    </row>
    <row r="39" spans="2:12" x14ac:dyDescent="0.25">
      <c r="B39" s="6" t="s">
        <v>17</v>
      </c>
      <c r="C39" s="50" t="e">
        <f>IF($C$12="Single speed",MAX(($C$8*C38),18000),MAX(($C$8*C38),24000))</f>
        <v>#VALUE!</v>
      </c>
      <c r="D39" s="50" t="e">
        <f>+MAX(($C$8*D38),40000)</f>
        <v>#VALUE!</v>
      </c>
      <c r="F39" s="52" t="s">
        <v>99</v>
      </c>
      <c r="G39" s="50" t="e">
        <f>+(G38)</f>
        <v>#VALUE!</v>
      </c>
      <c r="H39" s="31">
        <v>0</v>
      </c>
      <c r="I39" s="31">
        <v>0.8</v>
      </c>
      <c r="J39" s="50" t="str">
        <f>IF(C11 = "YES",
    IF(OR(ISBLANK('HVAC sizing letter'!C10), ISBLANK('HVAC sizing letter'!C11), ISBLANK('HVAC sizing letter'!C14), ISBLANK('HVAC sizing letter'!C15), ISBLANK('HVAC sizing letter'!C18), ISBLANK('HVAC sizing letter'!C19), ISBLANK('HVAC sizing letter'!C20), ISBLANK('HVAC sizing letter'!C23), ISBLANK('HVAC sizing letter'!C24)),
        "N/A",
        IF(C22 = "",C21,C22)
    ),"N/A")</f>
        <v>N/A</v>
      </c>
      <c r="K39" s="31" t="str">
        <f>IF(C11="YES",
IF(OR(ISBLANK('HVAC sizing letter'!C10),ISBLANK('HVAC sizing letter'!C11),ISBLANK('HVAC sizing letter'!C14),ISBLANK('HVAC sizing letter'!C15),ISBLANK('HVAC sizing letter'!C18),ISBLANK('HVAC sizing letter'!C19),ISBLANK('HVAC sizing letter'!C20),ISBLANK('HVAC sizing letter'!C23),ISBLANK('HVAC sizing letter'!C24)),
"N/A",
IF(J39="N/A","N/A",IF(J39/G39&lt;I39,"YES","NO")
)),"N/A")</f>
        <v>N/A</v>
      </c>
      <c r="L39" s="226"/>
    </row>
    <row r="40" spans="2:12" x14ac:dyDescent="0.25">
      <c r="B40" s="6"/>
      <c r="C40" s="6"/>
      <c r="D40" s="30"/>
      <c r="F40" s="51" t="s">
        <v>59</v>
      </c>
      <c r="G40" s="50" t="e">
        <f>+(C39*0.8)</f>
        <v>#VALUE!</v>
      </c>
      <c r="H40" s="32">
        <v>0.9</v>
      </c>
      <c r="I40" s="12" t="e">
        <f>+NA()</f>
        <v>#N/A</v>
      </c>
      <c r="J40" s="50" t="str">
        <f>+($C$16)</f>
        <v/>
      </c>
      <c r="K40" s="31" t="str">
        <f>IF(C11 = "YES",
    IF(OR(ISBLANK('HVAC sizing letter'!C10), ISBLANK('HVAC sizing letter'!C11), ISBLANK('HVAC sizing letter'!C14), ISBLANK('HVAC sizing letter'!C15), ISBLANK('HVAC sizing letter'!C18), ISBLANK('HVAC sizing letter'!C19), ISBLANK('HVAC sizing letter'!C20), ISBLANK('HVAC sizing letter'!C23), ISBLANK('HVAC sizing letter'!C24)),
        "N/A",
        IF(J40 &gt;= H40 * G40,"YES","NO")
    ),
    IF(OR(ISBLANK('HVAC sizing letter'!C10), ISBLANK('HVAC sizing letter'!C11),ISBLANK('HVAC sizing letter'!#REF!), ISBLANK('HVAC sizing letter'!#REF!), ISBLANK('HVAC sizing letter'!C14), ISBLANK('HVAC sizing letter'!C15), ISBLANK('HVAC sizing letter'!C18), ISBLANK('HVAC sizing letter'!C19), ISBLANK('HVAC sizing letter'!C20)),
        "N/A",
        IF(J40 &gt;= H40 * G40,"YES","NO")
    )
)</f>
        <v>N/A</v>
      </c>
      <c r="L40" s="224" t="str">
        <f>IF(C11 = "YES",
    IF(OR(ISBLANK('HVAC sizing letter'!C10), ISBLANK('HVAC sizing letter'!C11),ISBLANK('HVAC sizing letter'!#REF!), ISBLANK('HVAC sizing letter'!#REF!), ISBLANK('HVAC sizing letter'!C14), ISBLANK('HVAC sizing letter'!C15), ISBLANK('HVAC sizing letter'!C18), ISBLANK('HVAC sizing letter'!C19), ISBLANK('HVAC sizing letter'!C20), ISBLANK('HVAC sizing letter'!C23), ISBLANK('HVAC sizing letter'!C24)),
        "N/A",
        IF(AND(K40="YES",K42="YES"),"YES","NO")
    ),
    IF(OR(ISBLANK('HVAC sizing letter'!C10), ISBLANK('HVAC sizing letter'!C11),ISBLANK('HVAC sizing letter'!#REF!), ISBLANK('HVAC sizing letter'!#REF!), ISBLANK('HVAC sizing letter'!C14), ISBLANK('HVAC sizing letter'!C15), ISBLANK('HVAC sizing letter'!C18), ISBLANK('HVAC sizing letter'!C19), ISBLANK('HVAC sizing letter'!C20)),
        "N/A",
        IF(AND(K40="YES",K42="YES"),"YES","NO")
    )
)</f>
        <v>N/A</v>
      </c>
    </row>
    <row r="41" spans="2:12" x14ac:dyDescent="0.25">
      <c r="B41" s="6"/>
      <c r="C41" s="6"/>
      <c r="D41" s="6"/>
      <c r="F41" s="53" t="s">
        <v>58</v>
      </c>
      <c r="G41" s="50" t="e">
        <f>+(C39*0.2)</f>
        <v>#VALUE!</v>
      </c>
      <c r="H41" s="32">
        <v>1</v>
      </c>
      <c r="I41" s="12" t="e">
        <f>+NA()</f>
        <v>#N/A</v>
      </c>
      <c r="J41" s="50" t="str">
        <f>+($C$17)</f>
        <v/>
      </c>
      <c r="K41" s="31" t="str">
        <f>IF(C11 = "YES",
    IF(OR(ISBLANK('HVAC sizing letter'!C10), ISBLANK('HVAC sizing letter'!C11), ISBLANK('HVAC sizing letter'!C14), ISBLANK('HVAC sizing letter'!C15), ISBLANK('HVAC sizing letter'!C18), ISBLANK('HVAC sizing letter'!C19), ISBLANK('HVAC sizing letter'!C20), ISBLANK('HVAC sizing letter'!C23), ISBLANK('HVAC sizing letter'!C24)),
        "N/A",
        IF(J41&gt;=H41 * G41,"YES","CAUTION")
    ),
    IF(OR(ISBLANK('HVAC sizing letter'!C10), ISBLANK('HVAC sizing letter'!C11), ISBLANK('HVAC sizing letter'!C14), ISBLANK('HVAC sizing letter'!C15), ISBLANK('HVAC sizing letter'!C18), ISBLANK('HVAC sizing letter'!C19), ISBLANK('HVAC sizing letter'!C20)),
        "N/A",
        IF(J41&gt;=H41 * G41,"YES","CAUTION")
    )
)</f>
        <v>N/A</v>
      </c>
      <c r="L41" s="224"/>
    </row>
    <row r="42" spans="2:12" x14ac:dyDescent="0.25">
      <c r="B42" s="6"/>
      <c r="C42" s="6"/>
      <c r="D42" s="6"/>
      <c r="F42" s="52" t="s">
        <v>63</v>
      </c>
      <c r="G42" s="50" t="e">
        <f>+SUM(G40:G41)</f>
        <v>#VALUE!</v>
      </c>
      <c r="H42" s="31">
        <v>0.9</v>
      </c>
      <c r="I42" s="31">
        <f>+IF(C12="Single speed",IF(G42&lt;=24000,1.2,1.15),IF(C12="Two speed",1.25,1.3))</f>
        <v>1.3</v>
      </c>
      <c r="J42" s="50">
        <f>+(SUM(J40:J41))</f>
        <v>0</v>
      </c>
      <c r="K42" s="31" t="str">
        <f>IF(C11 = "YES",
    IF(OR(ISBLANK('HVAC sizing letter'!C10), ISBLANK('HVAC sizing letter'!C11), ISBLANK('HVAC sizing letter'!C14), ISBLANK('HVAC sizing letter'!C15), ISBLANK('HVAC sizing letter'!C18), ISBLANK('HVAC sizing letter'!C19), ISBLANK('HVAC sizing letter'!C20), ISBLANK('HVAC sizing letter'!C23), ISBLANK('HVAC sizing letter'!C24)),
        "N/A",
        IF(AND(J42&gt;=H42*G42,J42&lt;=I42*G42),"YES","NO")
    ),
    IF(OR(ISBLANK('HVAC sizing letter'!C10), ISBLANK('HVAC sizing letter'!C11), ISBLANK('HVAC sizing letter'!C14), ISBLANK('HVAC sizing letter'!C15), ISBLANK('HVAC sizing letter'!C18), ISBLANK('HVAC sizing letter'!C19), ISBLANK('HVAC sizing letter'!C20)),
        "N/A",
        IF(AND(J42&gt;=H42*G42,J42&lt;=I42*G42),"YES","NO")
    )
)</f>
        <v>N/A</v>
      </c>
      <c r="L42" s="224"/>
    </row>
    <row r="43" spans="2:12" x14ac:dyDescent="0.25">
      <c r="F43" s="24"/>
      <c r="G43" s="36" t="e">
        <f>+(G42/G38)</f>
        <v>#VALUE!</v>
      </c>
      <c r="H43" s="24"/>
    </row>
    <row r="44" spans="2:12" x14ac:dyDescent="0.25">
      <c r="F44" s="24"/>
      <c r="G44" s="24"/>
      <c r="H44" s="24"/>
    </row>
    <row r="45" spans="2:12" x14ac:dyDescent="0.25">
      <c r="F45" s="60" t="s">
        <v>84</v>
      </c>
      <c r="G45" s="50" t="e">
        <f>G38</f>
        <v>#VALUE!</v>
      </c>
      <c r="H45" s="24"/>
    </row>
    <row r="46" spans="2:12" x14ac:dyDescent="0.25">
      <c r="B46" s="6"/>
      <c r="C46" s="6"/>
      <c r="D46" s="6"/>
      <c r="F46" s="60" t="s">
        <v>85</v>
      </c>
      <c r="G46" s="50" t="e">
        <f>G42</f>
        <v>#VALUE!</v>
      </c>
      <c r="H46" s="24"/>
    </row>
    <row r="47" spans="2:12" x14ac:dyDescent="0.25">
      <c r="B47" s="6"/>
      <c r="C47" s="6"/>
      <c r="D47" s="6"/>
      <c r="F47" s="24"/>
      <c r="G47" s="24"/>
      <c r="H47" s="24"/>
    </row>
    <row r="48" spans="2:12" x14ac:dyDescent="0.25">
      <c r="B48" s="13" t="s">
        <v>115</v>
      </c>
      <c r="C48" s="6"/>
      <c r="D48" s="6"/>
      <c r="I48"/>
    </row>
    <row r="49" spans="2:12" x14ac:dyDescent="0.25">
      <c r="B49" s="6"/>
      <c r="C49" s="6"/>
      <c r="D49" s="28" t="s">
        <v>12</v>
      </c>
      <c r="E49" s="24"/>
      <c r="F49" s="24"/>
      <c r="G49" s="24"/>
      <c r="H49" s="24"/>
      <c r="I49"/>
    </row>
    <row r="50" spans="2:12" x14ac:dyDescent="0.25">
      <c r="B50" s="28" t="s">
        <v>4</v>
      </c>
      <c r="C50" s="28">
        <v>0</v>
      </c>
      <c r="D50" s="28" t="s">
        <v>124</v>
      </c>
      <c r="E50" s="24" t="s">
        <v>125</v>
      </c>
      <c r="F50" s="24" t="s">
        <v>126</v>
      </c>
      <c r="G50" s="24" t="s">
        <v>127</v>
      </c>
      <c r="H50" s="24" t="s">
        <v>128</v>
      </c>
      <c r="I50"/>
      <c r="K50" s="1" t="s">
        <v>18</v>
      </c>
    </row>
    <row r="51" spans="2:12" x14ac:dyDescent="0.25">
      <c r="B51" s="28">
        <v>0</v>
      </c>
      <c r="C51" s="28">
        <v>1944</v>
      </c>
      <c r="D51" s="46">
        <v>27.605400348384869</v>
      </c>
      <c r="E51" s="46">
        <v>21.964510921318134</v>
      </c>
      <c r="F51" s="46">
        <v>18</v>
      </c>
      <c r="G51" s="46">
        <v>14</v>
      </c>
      <c r="H51" s="46">
        <v>12</v>
      </c>
      <c r="I51" s="17"/>
      <c r="J51" s="31">
        <v>3</v>
      </c>
      <c r="K51" s="31">
        <v>0</v>
      </c>
      <c r="L51" s="61" t="e">
        <f>VLOOKUP($C$7,$B$50:$H$55,J51)</f>
        <v>#N/A</v>
      </c>
    </row>
    <row r="52" spans="2:12" x14ac:dyDescent="0.25">
      <c r="B52" s="28">
        <v>1945</v>
      </c>
      <c r="C52" s="28">
        <v>1959</v>
      </c>
      <c r="D52" s="46">
        <v>25.404342212753861</v>
      </c>
      <c r="E52" s="46">
        <v>22</v>
      </c>
      <c r="F52" s="46">
        <v>17</v>
      </c>
      <c r="G52" s="46">
        <v>14</v>
      </c>
      <c r="H52" s="46">
        <v>12</v>
      </c>
      <c r="I52" s="17"/>
      <c r="J52" s="31">
        <v>4</v>
      </c>
      <c r="K52" s="31">
        <v>800</v>
      </c>
      <c r="L52" s="61" t="e">
        <f>VLOOKUP($C$7,$B$50:$H$55,J52)</f>
        <v>#N/A</v>
      </c>
    </row>
    <row r="53" spans="2:12" x14ac:dyDescent="0.25">
      <c r="B53" s="28">
        <v>1960</v>
      </c>
      <c r="C53" s="28">
        <v>1974</v>
      </c>
      <c r="D53" s="46">
        <v>23.843165391156461</v>
      </c>
      <c r="E53" s="46">
        <v>21.574906509723931</v>
      </c>
      <c r="F53" s="46">
        <v>17</v>
      </c>
      <c r="G53" s="46">
        <v>14</v>
      </c>
      <c r="H53" s="46">
        <v>11</v>
      </c>
      <c r="I53" s="17"/>
      <c r="J53" s="31">
        <v>5</v>
      </c>
      <c r="K53" s="31">
        <v>1200</v>
      </c>
      <c r="L53" s="61" t="e">
        <f>VLOOKUP($C$7,$B$50:$H$55,J53)</f>
        <v>#N/A</v>
      </c>
    </row>
    <row r="54" spans="2:12" x14ac:dyDescent="0.25">
      <c r="B54" s="28">
        <v>1975</v>
      </c>
      <c r="C54" s="28">
        <v>1994</v>
      </c>
      <c r="D54" s="46">
        <v>24</v>
      </c>
      <c r="E54" s="46">
        <v>22.062983931011257</v>
      </c>
      <c r="F54" s="46">
        <v>15</v>
      </c>
      <c r="G54" s="46">
        <v>13</v>
      </c>
      <c r="H54" s="46">
        <v>10</v>
      </c>
      <c r="I54"/>
      <c r="J54" s="31">
        <v>6</v>
      </c>
      <c r="K54" s="31">
        <v>1800</v>
      </c>
      <c r="L54" s="61" t="e">
        <f>VLOOKUP($C$7,$B$50:$H$55,J54)</f>
        <v>#N/A</v>
      </c>
    </row>
    <row r="55" spans="2:12" x14ac:dyDescent="0.25">
      <c r="B55" s="28">
        <v>1995</v>
      </c>
      <c r="C55" s="28">
        <v>2020</v>
      </c>
      <c r="D55" s="46">
        <v>24</v>
      </c>
      <c r="E55" s="46">
        <v>17.999162479061976</v>
      </c>
      <c r="F55" s="46">
        <v>15</v>
      </c>
      <c r="G55" s="46">
        <v>13</v>
      </c>
      <c r="H55" s="46">
        <v>10</v>
      </c>
      <c r="I55"/>
      <c r="J55" s="31">
        <v>7</v>
      </c>
      <c r="K55" s="31">
        <v>2500</v>
      </c>
      <c r="L55" s="61" t="e">
        <f>VLOOKUP($C$7,$B$50:$H$55,J55)</f>
        <v>#N/A</v>
      </c>
    </row>
    <row r="56" spans="2:12" x14ac:dyDescent="0.25">
      <c r="B56" s="6"/>
      <c r="C56" s="6"/>
      <c r="D56" s="28"/>
      <c r="E56" s="24"/>
      <c r="F56" s="24"/>
      <c r="G56" s="24"/>
      <c r="H56" s="24"/>
      <c r="I56"/>
    </row>
    <row r="57" spans="2:12" x14ac:dyDescent="0.25">
      <c r="B57" s="6"/>
      <c r="C57" s="6"/>
      <c r="D57" s="28"/>
      <c r="E57" s="24"/>
      <c r="F57" s="24"/>
      <c r="G57" s="24"/>
      <c r="H57" s="24"/>
      <c r="I57"/>
    </row>
    <row r="58" spans="2:12" x14ac:dyDescent="0.25">
      <c r="B58" s="13" t="s">
        <v>21</v>
      </c>
      <c r="C58" s="6"/>
      <c r="D58" s="28"/>
      <c r="E58" s="24"/>
      <c r="F58" s="24"/>
      <c r="G58" s="24"/>
      <c r="H58" s="24"/>
      <c r="I58"/>
    </row>
    <row r="59" spans="2:12" x14ac:dyDescent="0.25">
      <c r="B59" s="6"/>
      <c r="C59" s="6"/>
      <c r="D59" s="28" t="s">
        <v>19</v>
      </c>
      <c r="E59" s="24"/>
      <c r="F59" s="24"/>
      <c r="G59" s="24"/>
      <c r="H59" s="24"/>
      <c r="I59"/>
    </row>
    <row r="60" spans="2:12" x14ac:dyDescent="0.25">
      <c r="B60" s="28" t="s">
        <v>20</v>
      </c>
      <c r="C60" s="28">
        <v>0</v>
      </c>
      <c r="D60" s="28" t="s">
        <v>124</v>
      </c>
      <c r="E60" s="24" t="s">
        <v>125</v>
      </c>
      <c r="F60" s="24" t="s">
        <v>126</v>
      </c>
      <c r="G60" s="24" t="s">
        <v>127</v>
      </c>
      <c r="H60" s="24" t="s">
        <v>128</v>
      </c>
      <c r="I60"/>
      <c r="K60" s="1" t="s">
        <v>18</v>
      </c>
      <c r="L60" s="24"/>
    </row>
    <row r="61" spans="2:12" x14ac:dyDescent="0.25">
      <c r="B61" s="28">
        <v>0</v>
      </c>
      <c r="C61" s="28">
        <v>1944</v>
      </c>
      <c r="D61" s="46">
        <v>56.736676038788744</v>
      </c>
      <c r="E61" s="46">
        <v>43</v>
      </c>
      <c r="F61" s="46">
        <v>37</v>
      </c>
      <c r="G61" s="46">
        <v>31</v>
      </c>
      <c r="H61" s="46">
        <v>28</v>
      </c>
      <c r="I61"/>
      <c r="J61" s="31">
        <v>3</v>
      </c>
      <c r="K61" s="31">
        <v>0</v>
      </c>
      <c r="L61" s="61" t="e">
        <f>VLOOKUP($C$7,$B$60:$H$65,J61)</f>
        <v>#N/A</v>
      </c>
    </row>
    <row r="62" spans="2:12" x14ac:dyDescent="0.25">
      <c r="B62" s="28">
        <v>1945</v>
      </c>
      <c r="C62" s="28">
        <v>1959</v>
      </c>
      <c r="D62" s="46">
        <v>50.122549016790586</v>
      </c>
      <c r="E62" s="46">
        <v>43.484695819094881</v>
      </c>
      <c r="F62" s="46">
        <v>35</v>
      </c>
      <c r="G62" s="46">
        <v>31</v>
      </c>
      <c r="H62" s="46">
        <v>28.099955585666624</v>
      </c>
      <c r="I62"/>
      <c r="J62" s="31">
        <v>4</v>
      </c>
      <c r="K62" s="31">
        <v>800</v>
      </c>
      <c r="L62" s="61" t="e">
        <f>VLOOKUP($C$7,$B$60:$H$65,J62)</f>
        <v>#N/A</v>
      </c>
    </row>
    <row r="63" spans="2:12" x14ac:dyDescent="0.25">
      <c r="B63" s="28">
        <v>1960</v>
      </c>
      <c r="C63" s="28">
        <v>1974</v>
      </c>
      <c r="D63" s="46">
        <v>42.694581738945573</v>
      </c>
      <c r="E63" s="46">
        <v>43.176689620019481</v>
      </c>
      <c r="F63" s="46">
        <v>35.063114852664583</v>
      </c>
      <c r="G63" s="46">
        <v>31</v>
      </c>
      <c r="H63" s="46">
        <v>26</v>
      </c>
      <c r="I63"/>
      <c r="J63" s="31">
        <v>5</v>
      </c>
      <c r="K63" s="31">
        <v>1200</v>
      </c>
      <c r="L63" s="61" t="e">
        <f>VLOOKUP($C$7,$B$60:$H$65,J63)</f>
        <v>#N/A</v>
      </c>
    </row>
    <row r="64" spans="2:12" x14ac:dyDescent="0.25">
      <c r="B64" s="28">
        <v>1975</v>
      </c>
      <c r="C64" s="28">
        <v>1994</v>
      </c>
      <c r="D64" s="46">
        <v>40</v>
      </c>
      <c r="E64" s="46">
        <v>39</v>
      </c>
      <c r="F64" s="46">
        <v>34.018704022060966</v>
      </c>
      <c r="G64" s="46">
        <v>29</v>
      </c>
      <c r="H64" s="46">
        <v>24</v>
      </c>
      <c r="I64"/>
      <c r="J64" s="31">
        <v>6</v>
      </c>
      <c r="K64" s="31">
        <v>1800</v>
      </c>
      <c r="L64" s="61" t="e">
        <f>VLOOKUP($C$7,$B$60:$H$65,J64)</f>
        <v>#N/A</v>
      </c>
    </row>
    <row r="65" spans="2:12" x14ac:dyDescent="0.25">
      <c r="B65" s="28">
        <v>1995</v>
      </c>
      <c r="C65" s="28">
        <v>2020</v>
      </c>
      <c r="D65" s="46">
        <v>37</v>
      </c>
      <c r="E65" s="46">
        <v>34.417085427135682</v>
      </c>
      <c r="F65" s="46">
        <v>32.14612689532126</v>
      </c>
      <c r="G65" s="46">
        <v>27.930603257068928</v>
      </c>
      <c r="H65" s="46">
        <v>24</v>
      </c>
      <c r="I65"/>
      <c r="J65" s="31">
        <v>7</v>
      </c>
      <c r="K65" s="31">
        <v>2500</v>
      </c>
      <c r="L65" s="61" t="e">
        <f>VLOOKUP($C$7,$B$60:$H$65,J65)</f>
        <v>#N/A</v>
      </c>
    </row>
    <row r="66" spans="2:12" x14ac:dyDescent="0.25">
      <c r="B66" s="6"/>
      <c r="C66" s="6"/>
      <c r="D66" s="6"/>
    </row>
    <row r="67" spans="2:12" x14ac:dyDescent="0.25">
      <c r="B67" s="6"/>
      <c r="C67" s="6"/>
      <c r="D67" s="6"/>
    </row>
    <row r="68" spans="2:12" x14ac:dyDescent="0.25">
      <c r="B68" s="6"/>
      <c r="C68" s="6"/>
      <c r="D68" s="6"/>
    </row>
    <row r="69" spans="2:12" x14ac:dyDescent="0.25">
      <c r="B69" s="73" t="s">
        <v>22</v>
      </c>
      <c r="C69" s="73" t="s">
        <v>23</v>
      </c>
      <c r="D69" s="74" t="s">
        <v>24</v>
      </c>
      <c r="E69" s="75" t="s">
        <v>25</v>
      </c>
      <c r="G69" s="55" t="s">
        <v>54</v>
      </c>
    </row>
    <row r="70" spans="2:12" x14ac:dyDescent="0.25">
      <c r="B70" s="14" t="s">
        <v>26</v>
      </c>
      <c r="C70" s="67"/>
      <c r="D70" s="68" t="s">
        <v>27</v>
      </c>
      <c r="E70" s="69" t="s">
        <v>28</v>
      </c>
      <c r="G70" s="55" t="s">
        <v>55</v>
      </c>
    </row>
    <row r="71" spans="2:12" x14ac:dyDescent="0.25">
      <c r="B71" s="14" t="s">
        <v>29</v>
      </c>
      <c r="C71" s="70"/>
      <c r="D71" s="68" t="s">
        <v>27</v>
      </c>
      <c r="E71" s="69" t="s">
        <v>30</v>
      </c>
      <c r="G71" s="55" t="s">
        <v>56</v>
      </c>
    </row>
    <row r="72" spans="2:12" ht="26.25" x14ac:dyDescent="0.25">
      <c r="B72" s="14" t="s">
        <v>31</v>
      </c>
      <c r="C72" s="70"/>
      <c r="D72" s="68"/>
      <c r="E72" s="69" t="s">
        <v>32</v>
      </c>
    </row>
    <row r="73" spans="2:12" ht="26.25" x14ac:dyDescent="0.25">
      <c r="B73" s="14" t="s">
        <v>33</v>
      </c>
      <c r="C73" s="67">
        <v>43675</v>
      </c>
      <c r="D73" s="68" t="s">
        <v>27</v>
      </c>
      <c r="E73" s="69" t="s">
        <v>34</v>
      </c>
    </row>
    <row r="74" spans="2:12" x14ac:dyDescent="0.25">
      <c r="B74" s="14" t="s">
        <v>35</v>
      </c>
      <c r="C74" s="67">
        <v>43809</v>
      </c>
      <c r="D74" s="68" t="s">
        <v>36</v>
      </c>
      <c r="E74" s="69" t="s">
        <v>37</v>
      </c>
    </row>
    <row r="75" spans="2:12" ht="51.75" x14ac:dyDescent="0.25">
      <c r="B75" s="5" t="s">
        <v>41</v>
      </c>
      <c r="C75" s="71">
        <v>45497</v>
      </c>
      <c r="D75" s="69" t="s">
        <v>39</v>
      </c>
      <c r="E75" s="69" t="s">
        <v>40</v>
      </c>
    </row>
    <row r="76" spans="2:12" x14ac:dyDescent="0.25">
      <c r="B76" s="5" t="s">
        <v>44</v>
      </c>
      <c r="C76" s="71"/>
      <c r="D76" s="72" t="s">
        <v>36</v>
      </c>
      <c r="E76" s="69" t="s">
        <v>45</v>
      </c>
    </row>
    <row r="77" spans="2:12" x14ac:dyDescent="0.25">
      <c r="B77" s="24" t="s">
        <v>121</v>
      </c>
      <c r="C77" s="66">
        <v>45657</v>
      </c>
      <c r="D77" s="24" t="s">
        <v>27</v>
      </c>
      <c r="E77" s="69">
        <v>8.1999999999999993</v>
      </c>
    </row>
    <row r="79" spans="2:12" x14ac:dyDescent="0.25">
      <c r="G79" s="29"/>
    </row>
    <row r="80" spans="2:12" x14ac:dyDescent="0.25">
      <c r="G80" s="29"/>
    </row>
    <row r="81" spans="7:21" x14ac:dyDescent="0.25">
      <c r="G81" s="29"/>
      <c r="I81" s="1" t="s">
        <v>120</v>
      </c>
      <c r="U81" s="24"/>
    </row>
    <row r="82" spans="7:21" x14ac:dyDescent="0.25">
      <c r="G82" s="29"/>
      <c r="U82" s="103"/>
    </row>
    <row r="83" spans="7:21" x14ac:dyDescent="0.25">
      <c r="G83" s="29"/>
    </row>
    <row r="84" spans="7:21" x14ac:dyDescent="0.25">
      <c r="U84" s="24"/>
    </row>
    <row r="85" spans="7:21" x14ac:dyDescent="0.25">
      <c r="U85" s="24"/>
    </row>
    <row r="86" spans="7:21" x14ac:dyDescent="0.25">
      <c r="U86" s="24"/>
    </row>
    <row r="87" spans="7:21" x14ac:dyDescent="0.25">
      <c r="U87" s="24"/>
    </row>
    <row r="88" spans="7:21" x14ac:dyDescent="0.25">
      <c r="U88" s="24"/>
    </row>
    <row r="89" spans="7:21" x14ac:dyDescent="0.25">
      <c r="U89" s="24"/>
    </row>
    <row r="90" spans="7:21" x14ac:dyDescent="0.25">
      <c r="U90" s="24"/>
    </row>
    <row r="91" spans="7:21" x14ac:dyDescent="0.25">
      <c r="U91" s="24"/>
    </row>
    <row r="92" spans="7:21" x14ac:dyDescent="0.25">
      <c r="U92" s="24"/>
    </row>
    <row r="93" spans="7:21" x14ac:dyDescent="0.25">
      <c r="U93" s="24"/>
    </row>
    <row r="94" spans="7:21" x14ac:dyDescent="0.25">
      <c r="U94" s="24"/>
    </row>
    <row r="95" spans="7:21" x14ac:dyDescent="0.25">
      <c r="U95" s="24"/>
    </row>
    <row r="96" spans="7:21" x14ac:dyDescent="0.25">
      <c r="U96" s="29"/>
    </row>
    <row r="97" spans="21:21" x14ac:dyDescent="0.25">
      <c r="U97" s="24"/>
    </row>
    <row r="98" spans="21:21" x14ac:dyDescent="0.25">
      <c r="U98" s="24"/>
    </row>
    <row r="99" spans="21:21" x14ac:dyDescent="0.25">
      <c r="U99" s="24"/>
    </row>
    <row r="100" spans="21:21" x14ac:dyDescent="0.25">
      <c r="U100" s="24"/>
    </row>
    <row r="101" spans="21:21" x14ac:dyDescent="0.25">
      <c r="U101" s="24"/>
    </row>
    <row r="102" spans="21:21" x14ac:dyDescent="0.25">
      <c r="U102" s="24"/>
    </row>
    <row r="103" spans="21:21" x14ac:dyDescent="0.25">
      <c r="U103" s="24"/>
    </row>
    <row r="104" spans="21:21" x14ac:dyDescent="0.25">
      <c r="U104" s="24"/>
    </row>
    <row r="105" spans="21:21" x14ac:dyDescent="0.25">
      <c r="U105" s="24"/>
    </row>
    <row r="106" spans="21:21" x14ac:dyDescent="0.25">
      <c r="U106" s="24"/>
    </row>
    <row r="107" spans="21:21" x14ac:dyDescent="0.25">
      <c r="U107" s="24"/>
    </row>
    <row r="108" spans="21:21" x14ac:dyDescent="0.25">
      <c r="U108" s="24"/>
    </row>
  </sheetData>
  <sheetProtection selectLockedCells="1" selectUnlockedCells="1"/>
  <mergeCells count="8">
    <mergeCell ref="L40:L42"/>
    <mergeCell ref="L38:L39"/>
    <mergeCell ref="E20:E22"/>
    <mergeCell ref="B3:D3"/>
    <mergeCell ref="B4:D4"/>
    <mergeCell ref="C26:D26"/>
    <mergeCell ref="C28:D28"/>
    <mergeCell ref="B32:D32"/>
  </mergeCells>
  <conditionalFormatting sqref="B19:D19 B20:B22 D20:D22">
    <cfRule type="expression" dxfId="8" priority="12">
      <formula>$C$14="No"</formula>
    </cfRule>
  </conditionalFormatting>
  <conditionalFormatting sqref="C19 B19:B22 D19:D22">
    <cfRule type="expression" dxfId="7" priority="11">
      <formula>$C$14="Yes"</formula>
    </cfRule>
  </conditionalFormatting>
  <hyperlinks>
    <hyperlink ref="D7" r:id="rId1" display="Blackhawk County Assessor Website" xr:uid="{6D4857AF-98E9-4EE0-B783-0AEFC309A4D0}"/>
    <hyperlink ref="D8" r:id="rId2" display="Blackhawk County Assessor Website" xr:uid="{343121AB-9B9B-4902-8D57-4F7087F0C6E2}"/>
  </hyperlinks>
  <pageMargins left="0.7" right="0.7" top="0.75" bottom="0.75" header="0.3" footer="0.3"/>
  <pageSetup orientation="portrait" r:id="rId3"/>
  <drawing r:id="rId4"/>
  <legacy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752C0AF2-3ACE-46E5-AE8C-40286A7C74A3}">
            <xm:f>NOT(ISERROR(SEARCH("NO",K38)))</xm:f>
            <xm:f>"NO"</xm:f>
            <x14:dxf>
              <fill>
                <patternFill>
                  <bgColor theme="7"/>
                </patternFill>
              </fill>
            </x14:dxf>
          </x14:cfRule>
          <x14:cfRule type="containsText" priority="16" operator="containsText" id="{74E548E1-6A51-4CFB-A524-0EB5C370B2A6}">
            <xm:f>NOT(ISERROR(SEARCH("YES",K38)))</xm:f>
            <xm:f>"YES"</xm:f>
            <x14:dxf>
              <fill>
                <patternFill>
                  <bgColor theme="9"/>
                </patternFill>
              </fill>
            </x14:dxf>
          </x14:cfRule>
          <xm:sqref>K38:K39</xm:sqref>
        </x14:conditionalFormatting>
        <x14:conditionalFormatting xmlns:xm="http://schemas.microsoft.com/office/excel/2006/main">
          <x14:cfRule type="containsText" priority="1" operator="containsText" id="{40EBF547-A497-46C1-BE0E-EB1C4409DD4D}">
            <xm:f>NOT(ISERROR(SEARCH("CAUTION",K40)))</xm:f>
            <xm:f>"CAUTION"</xm:f>
            <x14:dxf>
              <fill>
                <patternFill>
                  <bgColor rgb="FFF8E25E"/>
                </patternFill>
              </fill>
            </x14:dxf>
          </x14:cfRule>
          <x14:cfRule type="containsText" priority="2" operator="containsText" id="{4B5452B3-38A0-432F-8F8E-DAE5105CC2B3}">
            <xm:f>NOT(ISERROR(SEARCH("NO",K40)))</xm:f>
            <xm:f>"NO"</xm:f>
            <x14:dxf>
              <fill>
                <patternFill>
                  <bgColor theme="7"/>
                </patternFill>
              </fill>
            </x14:dxf>
          </x14:cfRule>
          <x14:cfRule type="containsText" priority="3" operator="containsText" id="{09F38996-E3D3-4420-ACA1-9D88B109A78F}">
            <xm:f>NOT(ISERROR(SEARCH("YES",K40)))</xm:f>
            <xm:f>"YES"</xm:f>
            <x14:dxf>
              <fill>
                <patternFill>
                  <bgColor theme="9"/>
                </patternFill>
              </fill>
            </x14:dxf>
          </x14:cfRule>
          <xm:sqref>K40:L42</xm:sqref>
        </x14:conditionalFormatting>
        <x14:conditionalFormatting xmlns:xm="http://schemas.microsoft.com/office/excel/2006/main">
          <x14:cfRule type="containsText" priority="7" operator="containsText" id="{0E65B0C0-2318-47D1-ADD0-57B136D0F867}">
            <xm:f>NOT(ISERROR(SEARCH("NO",L38)))</xm:f>
            <xm:f>"NO"</xm:f>
            <x14:dxf>
              <fill>
                <patternFill>
                  <bgColor theme="7"/>
                </patternFill>
              </fill>
            </x14:dxf>
          </x14:cfRule>
          <x14:cfRule type="containsText" priority="8" operator="containsText" id="{B5DA81A6-F201-4650-8A70-93EC118EC563}">
            <xm:f>NOT(ISERROR(SEARCH("YES",L38)))</xm:f>
            <xm:f>"YES"</xm:f>
            <x14:dxf>
              <fill>
                <patternFill>
                  <bgColor theme="9"/>
                </patternFill>
              </fill>
            </x14:dxf>
          </x14:cfRule>
          <xm:sqref>L38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CE92E-C012-46AB-BD1D-14C2E156462C}">
  <sheetPr codeName="Sheet6"/>
  <dimension ref="A1:AC60"/>
  <sheetViews>
    <sheetView showGridLines="0" topLeftCell="C19" zoomScale="70" zoomScaleNormal="70" workbookViewId="0">
      <selection activeCell="E35" sqref="E35"/>
    </sheetView>
  </sheetViews>
  <sheetFormatPr defaultRowHeight="15" x14ac:dyDescent="0.25"/>
  <cols>
    <col min="1" max="1" width="9.28515625" customWidth="1"/>
    <col min="2" max="2" width="7.85546875" customWidth="1"/>
    <col min="3" max="3" width="21.42578125" customWidth="1"/>
    <col min="4" max="4" width="11.28515625" customWidth="1"/>
    <col min="5" max="5" width="13.5703125" customWidth="1"/>
    <col min="6" max="6" width="12.42578125" customWidth="1"/>
    <col min="7" max="7" width="13.140625" customWidth="1"/>
    <col min="8" max="8" width="22.140625" bestFit="1" customWidth="1"/>
    <col min="9" max="9" width="27.85546875" bestFit="1" customWidth="1"/>
    <col min="10" max="10" width="17.85546875" customWidth="1"/>
    <col min="11" max="11" width="15.28515625" customWidth="1"/>
    <col min="12" max="12" width="16.28515625" customWidth="1"/>
    <col min="13" max="13" width="17.140625" customWidth="1"/>
    <col min="14" max="14" width="15.7109375" bestFit="1" customWidth="1"/>
    <col min="15" max="15" width="17" bestFit="1" customWidth="1"/>
    <col min="16" max="16" width="12" customWidth="1"/>
    <col min="17" max="17" width="13" customWidth="1"/>
    <col min="18" max="18" width="22.140625" bestFit="1" customWidth="1"/>
    <col min="19" max="19" width="24" customWidth="1"/>
    <col min="20" max="20" width="20.28515625" customWidth="1"/>
    <col min="21" max="21" width="16.42578125" customWidth="1"/>
    <col min="22" max="22" width="14.42578125" customWidth="1"/>
    <col min="23" max="23" width="15.42578125" bestFit="1" customWidth="1"/>
    <col min="24" max="24" width="15.7109375" bestFit="1" customWidth="1"/>
    <col min="25" max="25" width="12.140625" customWidth="1"/>
    <col min="26" max="27" width="11.28515625" customWidth="1"/>
  </cols>
  <sheetData>
    <row r="1" spans="1:29" x14ac:dyDescent="0.25">
      <c r="A1" s="242" t="s">
        <v>145</v>
      </c>
      <c r="B1" s="242"/>
      <c r="C1" s="242"/>
      <c r="D1" s="242"/>
      <c r="E1" s="242"/>
      <c r="F1" s="242"/>
      <c r="G1" s="242"/>
      <c r="K1" s="242" t="s">
        <v>144</v>
      </c>
      <c r="L1" s="242"/>
      <c r="M1" s="242"/>
      <c r="N1" s="242"/>
      <c r="O1" s="242"/>
      <c r="P1" s="242"/>
      <c r="Q1" s="242"/>
    </row>
    <row r="2" spans="1:29" x14ac:dyDescent="0.25">
      <c r="A2" s="13" t="s">
        <v>152</v>
      </c>
      <c r="B2" s="6"/>
      <c r="C2" s="6"/>
      <c r="D2" s="1"/>
      <c r="E2" s="1"/>
      <c r="F2" s="1"/>
      <c r="G2" s="1"/>
      <c r="K2" s="13" t="s">
        <v>115</v>
      </c>
      <c r="L2" s="6"/>
      <c r="M2" s="6"/>
      <c r="N2" s="1"/>
      <c r="O2" s="1"/>
      <c r="P2" s="1"/>
      <c r="Q2" s="1"/>
    </row>
    <row r="3" spans="1:29" x14ac:dyDescent="0.25">
      <c r="A3" s="6"/>
      <c r="B3" s="6"/>
      <c r="C3" s="6" t="s">
        <v>12</v>
      </c>
      <c r="D3" s="1"/>
      <c r="E3" s="1"/>
      <c r="F3" s="1"/>
      <c r="G3" s="1"/>
      <c r="K3" s="6"/>
      <c r="L3" s="6"/>
      <c r="M3" s="28" t="s">
        <v>12</v>
      </c>
      <c r="N3" s="24"/>
      <c r="O3" s="24"/>
      <c r="P3" s="24"/>
      <c r="Q3" s="24"/>
      <c r="Y3" s="242" t="s">
        <v>161</v>
      </c>
      <c r="Z3" s="242"/>
      <c r="AA3" s="242"/>
      <c r="AB3" s="242"/>
      <c r="AC3" s="242"/>
    </row>
    <row r="4" spans="1:29" x14ac:dyDescent="0.25">
      <c r="A4" s="6" t="s">
        <v>4</v>
      </c>
      <c r="B4" s="6">
        <v>0</v>
      </c>
      <c r="C4" s="6" t="s">
        <v>147</v>
      </c>
      <c r="D4" s="1" t="s">
        <v>148</v>
      </c>
      <c r="E4" s="1" t="s">
        <v>149</v>
      </c>
      <c r="F4" s="1" t="s">
        <v>150</v>
      </c>
      <c r="G4" s="1" t="s">
        <v>151</v>
      </c>
      <c r="K4" s="28" t="s">
        <v>4</v>
      </c>
      <c r="L4" s="28">
        <v>0</v>
      </c>
      <c r="M4" s="28" t="s">
        <v>124</v>
      </c>
      <c r="N4" s="24" t="s">
        <v>125</v>
      </c>
      <c r="O4" s="24" t="s">
        <v>126</v>
      </c>
      <c r="P4" s="24" t="s">
        <v>127</v>
      </c>
      <c r="Q4" s="24" t="s">
        <v>128</v>
      </c>
    </row>
    <row r="5" spans="1:29" x14ac:dyDescent="0.25">
      <c r="A5" s="6">
        <v>0</v>
      </c>
      <c r="B5" s="6">
        <v>1944</v>
      </c>
      <c r="C5" s="109">
        <v>1</v>
      </c>
      <c r="D5" s="110">
        <v>24</v>
      </c>
      <c r="E5" s="110">
        <v>20</v>
      </c>
      <c r="F5" s="110">
        <v>13.714285714285714</v>
      </c>
      <c r="G5" s="110">
        <v>12.972972972972974</v>
      </c>
      <c r="K5" s="28">
        <v>0</v>
      </c>
      <c r="L5" s="28">
        <v>1944</v>
      </c>
      <c r="M5" s="46">
        <v>27.605400348384869</v>
      </c>
      <c r="N5" s="46">
        <v>21.964510921318134</v>
      </c>
      <c r="O5" s="46">
        <v>18</v>
      </c>
      <c r="P5" s="46">
        <v>14</v>
      </c>
      <c r="Q5" s="46">
        <v>12</v>
      </c>
      <c r="S5" s="46">
        <v>27.605400348384869</v>
      </c>
      <c r="T5" s="46">
        <v>21.964510921318134</v>
      </c>
      <c r="U5" s="46">
        <v>18.005716544594083</v>
      </c>
      <c r="V5" s="46">
        <v>14.780546745401923</v>
      </c>
      <c r="W5" s="46">
        <v>15</v>
      </c>
      <c r="Y5" s="46">
        <f>+(S5-M5)</f>
        <v>0</v>
      </c>
      <c r="Z5" s="46">
        <f t="shared" ref="Z5:AC9" si="0">+(T5-N5)</f>
        <v>0</v>
      </c>
      <c r="AA5" s="46">
        <f t="shared" si="0"/>
        <v>5.7165445940832171E-3</v>
      </c>
      <c r="AB5" s="46">
        <f t="shared" si="0"/>
        <v>0.78054674540192259</v>
      </c>
      <c r="AC5" s="46">
        <f t="shared" si="0"/>
        <v>3</v>
      </c>
    </row>
    <row r="6" spans="1:29" x14ac:dyDescent="0.25">
      <c r="A6" s="6">
        <v>1945</v>
      </c>
      <c r="B6" s="6">
        <v>1959</v>
      </c>
      <c r="C6" s="109">
        <v>1</v>
      </c>
      <c r="D6" s="110">
        <v>20.869565217391305</v>
      </c>
      <c r="E6" s="110">
        <v>17.142857142857142</v>
      </c>
      <c r="F6" s="110">
        <v>13.714285714285714</v>
      </c>
      <c r="G6" s="111">
        <v>1</v>
      </c>
      <c r="K6" s="28">
        <v>1945</v>
      </c>
      <c r="L6" s="28">
        <v>1959</v>
      </c>
      <c r="M6" s="46">
        <v>25.404342212753861</v>
      </c>
      <c r="N6" s="46">
        <v>22</v>
      </c>
      <c r="O6" s="46">
        <v>17</v>
      </c>
      <c r="P6" s="46">
        <v>14</v>
      </c>
      <c r="Q6" s="46">
        <v>12</v>
      </c>
      <c r="S6" s="46">
        <v>25.404342212753861</v>
      </c>
      <c r="T6" s="46">
        <v>22</v>
      </c>
      <c r="U6" s="46">
        <v>18.199785726599313</v>
      </c>
      <c r="V6" s="46">
        <v>15.332902083345823</v>
      </c>
      <c r="W6" s="46">
        <v>15</v>
      </c>
      <c r="Y6" s="46">
        <f t="shared" ref="Y6:Y9" si="1">+(S6-M6)</f>
        <v>0</v>
      </c>
      <c r="Z6" s="46">
        <f t="shared" si="0"/>
        <v>0</v>
      </c>
      <c r="AA6" s="46">
        <f t="shared" si="0"/>
        <v>1.1997857265993126</v>
      </c>
      <c r="AB6" s="46">
        <f t="shared" si="0"/>
        <v>1.3329020833458234</v>
      </c>
      <c r="AC6" s="46">
        <f t="shared" si="0"/>
        <v>3</v>
      </c>
    </row>
    <row r="7" spans="1:29" x14ac:dyDescent="0.25">
      <c r="A7" s="6">
        <v>1960</v>
      </c>
      <c r="B7" s="6">
        <v>1974</v>
      </c>
      <c r="C7" s="109">
        <v>1</v>
      </c>
      <c r="D7" s="110">
        <v>20.869565217391305</v>
      </c>
      <c r="E7" s="110">
        <v>17.777777777777779</v>
      </c>
      <c r="F7" s="110">
        <v>15.483870967741936</v>
      </c>
      <c r="G7" s="111">
        <v>1</v>
      </c>
      <c r="K7" s="28">
        <v>1960</v>
      </c>
      <c r="L7" s="28">
        <v>1974</v>
      </c>
      <c r="M7" s="46">
        <v>23.843165391156461</v>
      </c>
      <c r="N7" s="46">
        <v>21.574906509723931</v>
      </c>
      <c r="O7" s="46">
        <v>17</v>
      </c>
      <c r="P7" s="46">
        <v>14</v>
      </c>
      <c r="Q7" s="46">
        <v>11</v>
      </c>
      <c r="S7" s="46">
        <v>23.843165391156461</v>
      </c>
      <c r="T7" s="65">
        <v>21.574906509723931</v>
      </c>
      <c r="U7" s="46">
        <v>17.4421781024691</v>
      </c>
      <c r="V7" s="46">
        <v>16.156151647589692</v>
      </c>
      <c r="W7" s="46">
        <v>14.652090604238182</v>
      </c>
      <c r="Y7" s="46">
        <f t="shared" si="1"/>
        <v>0</v>
      </c>
      <c r="Z7" s="46">
        <f t="shared" si="0"/>
        <v>0</v>
      </c>
      <c r="AA7" s="46">
        <f t="shared" si="0"/>
        <v>0.44217810246910005</v>
      </c>
      <c r="AB7" s="46">
        <f t="shared" si="0"/>
        <v>2.1561516475896916</v>
      </c>
      <c r="AC7" s="46">
        <f t="shared" si="0"/>
        <v>3.6520906042381824</v>
      </c>
    </row>
    <row r="8" spans="1:29" x14ac:dyDescent="0.25">
      <c r="A8" s="6">
        <v>1975</v>
      </c>
      <c r="B8" s="6">
        <v>1994</v>
      </c>
      <c r="C8" s="109">
        <v>1</v>
      </c>
      <c r="D8" s="110">
        <v>21.818181818181817</v>
      </c>
      <c r="E8" s="110">
        <v>16.551724137931036</v>
      </c>
      <c r="F8" s="110">
        <v>13.714285714285714</v>
      </c>
      <c r="G8" s="110">
        <v>10.212765957446809</v>
      </c>
      <c r="K8" s="28">
        <v>1975</v>
      </c>
      <c r="L8" s="28">
        <v>1994</v>
      </c>
      <c r="M8" s="46">
        <v>24</v>
      </c>
      <c r="N8" s="46">
        <v>22.062983931011257</v>
      </c>
      <c r="O8" s="46">
        <v>15</v>
      </c>
      <c r="P8" s="46">
        <v>13</v>
      </c>
      <c r="Q8" s="46">
        <v>10</v>
      </c>
      <c r="S8" s="65">
        <v>24</v>
      </c>
      <c r="T8" s="46">
        <v>22.062983931011257</v>
      </c>
      <c r="U8" s="46">
        <v>17.04892926409817</v>
      </c>
      <c r="V8" s="46">
        <v>14.434440062254964</v>
      </c>
      <c r="W8" s="46">
        <v>12.256433388927563</v>
      </c>
      <c r="Y8" s="46">
        <f t="shared" si="1"/>
        <v>0</v>
      </c>
      <c r="Z8" s="46">
        <f t="shared" si="0"/>
        <v>0</v>
      </c>
      <c r="AA8" s="46">
        <f t="shared" si="0"/>
        <v>2.0489292640981702</v>
      </c>
      <c r="AB8" s="46">
        <f t="shared" si="0"/>
        <v>1.4344400622549642</v>
      </c>
      <c r="AC8" s="46">
        <f t="shared" si="0"/>
        <v>2.2564333889275634</v>
      </c>
    </row>
    <row r="9" spans="1:29" x14ac:dyDescent="0.25">
      <c r="A9" s="6">
        <v>1995</v>
      </c>
      <c r="B9" s="6">
        <v>2020</v>
      </c>
      <c r="C9" s="109">
        <v>1</v>
      </c>
      <c r="D9" s="111">
        <v>1</v>
      </c>
      <c r="E9" s="110">
        <v>16.551724137931036</v>
      </c>
      <c r="F9" s="110">
        <v>13.333333333333334</v>
      </c>
      <c r="G9" s="110">
        <v>12.631578947368421</v>
      </c>
      <c r="K9" s="28">
        <v>1995</v>
      </c>
      <c r="L9" s="28">
        <v>2025</v>
      </c>
      <c r="M9" s="46">
        <v>24</v>
      </c>
      <c r="N9" s="46">
        <v>17.999162479061976</v>
      </c>
      <c r="O9" s="46">
        <v>15</v>
      </c>
      <c r="P9" s="46">
        <v>13</v>
      </c>
      <c r="Q9" s="46">
        <v>10</v>
      </c>
      <c r="S9" s="65">
        <v>24</v>
      </c>
      <c r="T9" s="46">
        <v>17.999162479061976</v>
      </c>
      <c r="U9" s="46">
        <v>16.08791878206786</v>
      </c>
      <c r="V9" s="46">
        <v>14.35783507660031</v>
      </c>
      <c r="W9" s="46">
        <v>13.641295863740263</v>
      </c>
      <c r="Y9" s="46">
        <f t="shared" si="1"/>
        <v>0</v>
      </c>
      <c r="Z9" s="46">
        <f t="shared" si="0"/>
        <v>0</v>
      </c>
      <c r="AA9" s="46">
        <f t="shared" si="0"/>
        <v>1.0879187820678595</v>
      </c>
      <c r="AB9" s="46">
        <f t="shared" si="0"/>
        <v>1.3578350766003098</v>
      </c>
      <c r="AC9" s="46">
        <f t="shared" si="0"/>
        <v>3.6412958637402628</v>
      </c>
    </row>
    <row r="10" spans="1:29" x14ac:dyDescent="0.25">
      <c r="K10" s="6"/>
      <c r="L10" s="6"/>
      <c r="M10" s="28"/>
      <c r="N10" s="24"/>
      <c r="O10" s="24"/>
      <c r="P10" s="24"/>
      <c r="Q10" s="24"/>
    </row>
    <row r="11" spans="1:29" x14ac:dyDescent="0.25">
      <c r="K11" s="6"/>
      <c r="L11" s="6"/>
      <c r="M11" s="28"/>
      <c r="N11" s="24"/>
      <c r="O11" s="24"/>
      <c r="P11" s="24"/>
      <c r="Q11" s="24"/>
    </row>
    <row r="12" spans="1:29" x14ac:dyDescent="0.25">
      <c r="A12" s="13" t="s">
        <v>146</v>
      </c>
      <c r="B12" s="6"/>
      <c r="C12" s="6"/>
      <c r="D12" s="1"/>
      <c r="E12" s="1"/>
      <c r="F12" s="1"/>
      <c r="G12" s="1"/>
      <c r="K12" s="13" t="s">
        <v>21</v>
      </c>
      <c r="L12" s="6"/>
      <c r="M12" s="28"/>
      <c r="N12" s="24"/>
      <c r="O12" s="24"/>
      <c r="P12" s="24"/>
      <c r="Q12" s="24"/>
    </row>
    <row r="13" spans="1:29" x14ac:dyDescent="0.25">
      <c r="A13" s="6"/>
      <c r="B13" s="6"/>
      <c r="C13" s="6" t="s">
        <v>19</v>
      </c>
      <c r="D13" s="1"/>
      <c r="E13" s="1"/>
      <c r="F13" s="1"/>
      <c r="G13" s="1"/>
      <c r="K13" s="6"/>
      <c r="L13" s="6"/>
      <c r="M13" s="28" t="s">
        <v>19</v>
      </c>
      <c r="N13" s="24"/>
      <c r="O13" s="24"/>
      <c r="P13" s="24"/>
      <c r="Q13" s="24"/>
    </row>
    <row r="14" spans="1:29" x14ac:dyDescent="0.25">
      <c r="A14" s="6" t="s">
        <v>20</v>
      </c>
      <c r="B14" s="6"/>
      <c r="C14" s="6" t="s">
        <v>147</v>
      </c>
      <c r="D14" s="1" t="s">
        <v>148</v>
      </c>
      <c r="E14" s="1" t="s">
        <v>149</v>
      </c>
      <c r="F14" s="1" t="s">
        <v>150</v>
      </c>
      <c r="G14" s="1" t="s">
        <v>151</v>
      </c>
      <c r="K14" s="28" t="s">
        <v>20</v>
      </c>
      <c r="L14" s="28">
        <v>0</v>
      </c>
      <c r="M14" s="28" t="s">
        <v>124</v>
      </c>
      <c r="N14" s="24" t="s">
        <v>125</v>
      </c>
      <c r="O14" s="24" t="s">
        <v>126</v>
      </c>
      <c r="P14" s="24" t="s">
        <v>127</v>
      </c>
      <c r="Q14" s="24" t="s">
        <v>128</v>
      </c>
    </row>
    <row r="15" spans="1:29" x14ac:dyDescent="0.25">
      <c r="A15" s="6">
        <v>0</v>
      </c>
      <c r="B15" s="6">
        <v>1944</v>
      </c>
      <c r="C15" s="107">
        <v>1</v>
      </c>
      <c r="D15" s="31">
        <v>58</v>
      </c>
      <c r="E15" s="31">
        <v>47</v>
      </c>
      <c r="F15" s="31">
        <v>38</v>
      </c>
      <c r="G15" s="108">
        <v>1</v>
      </c>
      <c r="K15" s="28">
        <v>0</v>
      </c>
      <c r="L15" s="28">
        <v>1944</v>
      </c>
      <c r="M15" s="46">
        <v>56.736676038788744</v>
      </c>
      <c r="N15" s="46">
        <v>43</v>
      </c>
      <c r="O15" s="46">
        <v>37</v>
      </c>
      <c r="P15" s="46">
        <v>31</v>
      </c>
      <c r="Q15" s="46">
        <v>28</v>
      </c>
      <c r="S15" s="46">
        <v>56.736676038788744</v>
      </c>
      <c r="T15" s="46">
        <v>42.38921597334862</v>
      </c>
      <c r="U15" s="46">
        <v>36.193464826562611</v>
      </c>
      <c r="V15" s="46">
        <v>29.542091081742296</v>
      </c>
      <c r="W15" s="46">
        <v>26.452316318897129</v>
      </c>
      <c r="Y15" s="46">
        <f>+(S15-M15)</f>
        <v>0</v>
      </c>
      <c r="Z15" s="46">
        <f t="shared" ref="Z15:Z19" si="2">+(T15-N15)</f>
        <v>-0.61078402665138043</v>
      </c>
      <c r="AA15" s="46">
        <f t="shared" ref="AA15:AA19" si="3">+(U15-O15)</f>
        <v>-0.80653517343738912</v>
      </c>
      <c r="AB15" s="46">
        <f t="shared" ref="AB15:AB19" si="4">+(V15-P15)</f>
        <v>-1.4579089182577043</v>
      </c>
      <c r="AC15" s="46">
        <f t="shared" ref="AC15:AC19" si="5">+(W15-Q15)</f>
        <v>-1.5476836811028711</v>
      </c>
    </row>
    <row r="16" spans="1:29" x14ac:dyDescent="0.25">
      <c r="A16" s="6">
        <v>1945</v>
      </c>
      <c r="B16" s="6">
        <v>1959</v>
      </c>
      <c r="C16" s="107">
        <v>1</v>
      </c>
      <c r="D16" s="31">
        <v>60</v>
      </c>
      <c r="E16" s="31">
        <v>48</v>
      </c>
      <c r="F16" s="31">
        <v>37</v>
      </c>
      <c r="G16" s="108">
        <v>1</v>
      </c>
      <c r="K16" s="28">
        <v>1945</v>
      </c>
      <c r="L16" s="28">
        <v>1959</v>
      </c>
      <c r="M16" s="46">
        <v>50.122549016790586</v>
      </c>
      <c r="N16" s="46">
        <v>43.484695819094881</v>
      </c>
      <c r="O16" s="46">
        <v>35</v>
      </c>
      <c r="P16" s="46">
        <v>31</v>
      </c>
      <c r="Q16" s="46">
        <v>28.099955585666624</v>
      </c>
      <c r="S16" s="46">
        <v>50.122549016790586</v>
      </c>
      <c r="T16" s="46">
        <v>43.484695819094881</v>
      </c>
      <c r="U16" s="46">
        <v>36.900204924625818</v>
      </c>
      <c r="V16" s="46">
        <v>31.527495097065724</v>
      </c>
      <c r="W16" s="46">
        <v>28.099955585666624</v>
      </c>
      <c r="Y16" s="46">
        <f t="shared" ref="Y16:Y19" si="6">+(S16-M16)</f>
        <v>0</v>
      </c>
      <c r="Z16" s="46">
        <f t="shared" si="2"/>
        <v>0</v>
      </c>
      <c r="AA16" s="46">
        <f t="shared" si="3"/>
        <v>1.9002049246258181</v>
      </c>
      <c r="AB16" s="46">
        <f t="shared" si="4"/>
        <v>0.52749509706572439</v>
      </c>
      <c r="AC16" s="46">
        <f t="shared" si="5"/>
        <v>0</v>
      </c>
    </row>
    <row r="17" spans="1:29" x14ac:dyDescent="0.25">
      <c r="A17" s="6">
        <v>1960</v>
      </c>
      <c r="B17" s="6">
        <v>1974</v>
      </c>
      <c r="C17" s="107">
        <v>1</v>
      </c>
      <c r="D17" s="31">
        <v>63</v>
      </c>
      <c r="E17" s="31">
        <v>48</v>
      </c>
      <c r="F17" s="31">
        <v>40</v>
      </c>
      <c r="G17" s="108">
        <v>1</v>
      </c>
      <c r="K17" s="28">
        <v>1960</v>
      </c>
      <c r="L17" s="28">
        <v>1974</v>
      </c>
      <c r="M17" s="46">
        <v>42.694581738945573</v>
      </c>
      <c r="N17" s="46">
        <v>43.176689620019481</v>
      </c>
      <c r="O17" s="46">
        <v>35.063114852664583</v>
      </c>
      <c r="P17" s="46">
        <v>31</v>
      </c>
      <c r="Q17" s="46">
        <v>26</v>
      </c>
      <c r="S17" s="46">
        <v>42.694581738945573</v>
      </c>
      <c r="T17" s="46">
        <v>43.176689620019481</v>
      </c>
      <c r="U17" s="46">
        <v>35.063114852664583</v>
      </c>
      <c r="V17" s="46">
        <v>31.656000185207574</v>
      </c>
      <c r="W17" s="46">
        <v>29.023803182585588</v>
      </c>
      <c r="Y17" s="46">
        <f t="shared" si="6"/>
        <v>0</v>
      </c>
      <c r="Z17" s="46">
        <f t="shared" si="2"/>
        <v>0</v>
      </c>
      <c r="AA17" s="46">
        <f t="shared" si="3"/>
        <v>0</v>
      </c>
      <c r="AB17" s="46">
        <f t="shared" si="4"/>
        <v>0.6560001852075743</v>
      </c>
      <c r="AC17" s="46">
        <f t="shared" si="5"/>
        <v>3.0238031825855884</v>
      </c>
    </row>
    <row r="18" spans="1:29" x14ac:dyDescent="0.25">
      <c r="A18" s="6">
        <v>1975</v>
      </c>
      <c r="B18" s="6">
        <v>1994</v>
      </c>
      <c r="C18" s="107">
        <v>1</v>
      </c>
      <c r="D18" s="31">
        <v>58</v>
      </c>
      <c r="E18" s="31">
        <v>47</v>
      </c>
      <c r="F18" s="31">
        <v>40</v>
      </c>
      <c r="G18" s="31">
        <v>31</v>
      </c>
      <c r="K18" s="28">
        <v>1975</v>
      </c>
      <c r="L18" s="28">
        <v>1994</v>
      </c>
      <c r="M18" s="46">
        <v>40</v>
      </c>
      <c r="N18" s="46">
        <v>39</v>
      </c>
      <c r="O18" s="46">
        <v>34.018704022060966</v>
      </c>
      <c r="P18" s="46">
        <v>29</v>
      </c>
      <c r="Q18" s="46">
        <v>24</v>
      </c>
      <c r="S18" s="46">
        <v>43</v>
      </c>
      <c r="T18" s="46">
        <v>42.061050148488334</v>
      </c>
      <c r="U18" s="46">
        <v>34.018704022060966</v>
      </c>
      <c r="V18" s="46">
        <v>29.529857067095019</v>
      </c>
      <c r="W18" s="46">
        <v>24.235364816794014</v>
      </c>
      <c r="Y18" s="46">
        <f t="shared" si="6"/>
        <v>3</v>
      </c>
      <c r="Z18" s="46">
        <f t="shared" si="2"/>
        <v>3.0610501484883343</v>
      </c>
      <c r="AA18" s="46">
        <f t="shared" si="3"/>
        <v>0</v>
      </c>
      <c r="AB18" s="46">
        <f t="shared" si="4"/>
        <v>0.52985706709501912</v>
      </c>
      <c r="AC18" s="46">
        <f t="shared" si="5"/>
        <v>0.23536481679401433</v>
      </c>
    </row>
    <row r="19" spans="1:29" x14ac:dyDescent="0.25">
      <c r="A19" s="6">
        <v>1995</v>
      </c>
      <c r="B19" s="6">
        <v>2020</v>
      </c>
      <c r="C19" s="107">
        <v>1</v>
      </c>
      <c r="D19" s="108">
        <v>1</v>
      </c>
      <c r="E19" s="31">
        <v>47</v>
      </c>
      <c r="F19" s="31">
        <v>38</v>
      </c>
      <c r="G19" s="31">
        <v>33</v>
      </c>
      <c r="K19" s="28">
        <v>1995</v>
      </c>
      <c r="L19" s="28">
        <v>2020</v>
      </c>
      <c r="M19" s="46">
        <v>37</v>
      </c>
      <c r="N19" s="46">
        <v>34.417085427135682</v>
      </c>
      <c r="O19" s="46">
        <v>32.14612689532126</v>
      </c>
      <c r="P19" s="46">
        <v>27.930603257068928</v>
      </c>
      <c r="Q19" s="46">
        <v>24</v>
      </c>
      <c r="S19" s="46">
        <v>40</v>
      </c>
      <c r="T19" s="46">
        <v>34.417085427135682</v>
      </c>
      <c r="U19" s="46">
        <v>32.14612689532126</v>
      </c>
      <c r="V19" s="46">
        <v>27.930603257068928</v>
      </c>
      <c r="W19" s="46">
        <v>26.528798176137478</v>
      </c>
      <c r="Y19" s="46">
        <f t="shared" si="6"/>
        <v>3</v>
      </c>
      <c r="Z19" s="46">
        <f t="shared" si="2"/>
        <v>0</v>
      </c>
      <c r="AA19" s="46">
        <f t="shared" si="3"/>
        <v>0</v>
      </c>
      <c r="AB19" s="46">
        <f t="shared" si="4"/>
        <v>0</v>
      </c>
      <c r="AC19" s="46">
        <f t="shared" si="5"/>
        <v>2.528798176137478</v>
      </c>
    </row>
    <row r="20" spans="1:29" x14ac:dyDescent="0.25">
      <c r="A20" s="6"/>
      <c r="B20" s="6"/>
      <c r="C20" s="6"/>
      <c r="D20" s="1"/>
      <c r="E20" s="1"/>
      <c r="F20" s="1"/>
      <c r="G20" s="1"/>
    </row>
    <row r="29" spans="1:29" ht="15.75" thickBot="1" x14ac:dyDescent="0.3"/>
    <row r="30" spans="1:29" ht="15.75" thickBot="1" x14ac:dyDescent="0.3">
      <c r="G30" s="243" t="s">
        <v>153</v>
      </c>
      <c r="H30" s="244"/>
      <c r="I30" s="244"/>
      <c r="J30" s="244"/>
      <c r="K30" s="244"/>
      <c r="L30" s="244"/>
      <c r="M30" s="244"/>
      <c r="N30" s="244"/>
      <c r="O30" s="245"/>
      <c r="R30" s="243" t="s">
        <v>155</v>
      </c>
      <c r="S30" s="244"/>
      <c r="T30" s="244"/>
      <c r="U30" s="245"/>
      <c r="W30" s="243" t="s">
        <v>156</v>
      </c>
      <c r="X30" s="245"/>
    </row>
    <row r="31" spans="1:29" ht="15.75" thickBot="1" x14ac:dyDescent="0.3">
      <c r="L31" s="241" t="s">
        <v>143</v>
      </c>
      <c r="M31" s="241"/>
      <c r="N31" s="241"/>
      <c r="O31" s="241"/>
      <c r="W31" s="29" t="s">
        <v>159</v>
      </c>
      <c r="X31" s="29" t="s">
        <v>160</v>
      </c>
    </row>
    <row r="32" spans="1:29" ht="21.75" thickBot="1" x14ac:dyDescent="0.4">
      <c r="C32" s="1"/>
      <c r="D32" s="233" t="s">
        <v>129</v>
      </c>
      <c r="E32" s="234"/>
      <c r="F32" s="234"/>
      <c r="G32" s="234"/>
      <c r="H32" s="234"/>
      <c r="I32" s="235"/>
      <c r="J32" s="236" t="s">
        <v>136</v>
      </c>
      <c r="K32" s="237"/>
      <c r="L32" s="238" t="s">
        <v>140</v>
      </c>
      <c r="M32" s="239"/>
      <c r="N32" s="239"/>
      <c r="O32" s="240"/>
      <c r="R32" s="243" t="s">
        <v>154</v>
      </c>
      <c r="S32" s="244"/>
      <c r="T32" s="236" t="s">
        <v>140</v>
      </c>
      <c r="U32" s="237"/>
      <c r="W32" s="246" t="s">
        <v>157</v>
      </c>
      <c r="X32" s="248" t="s">
        <v>158</v>
      </c>
    </row>
    <row r="33" spans="3:24" ht="15.75" thickBot="1" x14ac:dyDescent="0.3">
      <c r="C33" s="1"/>
      <c r="D33" s="117" t="s">
        <v>134</v>
      </c>
      <c r="E33" s="112" t="s">
        <v>130</v>
      </c>
      <c r="F33" s="112" t="s">
        <v>131</v>
      </c>
      <c r="G33" s="112" t="s">
        <v>135</v>
      </c>
      <c r="H33" s="112" t="s">
        <v>132</v>
      </c>
      <c r="I33" s="116" t="s">
        <v>133</v>
      </c>
      <c r="J33" s="125" t="s">
        <v>137</v>
      </c>
      <c r="K33" s="118" t="s">
        <v>138</v>
      </c>
      <c r="L33" s="119" t="s">
        <v>139</v>
      </c>
      <c r="M33" s="120" t="s">
        <v>139</v>
      </c>
      <c r="N33" s="121" t="s">
        <v>141</v>
      </c>
      <c r="O33" s="122" t="s">
        <v>142</v>
      </c>
      <c r="Q33" s="126"/>
      <c r="R33" s="127" t="s">
        <v>132</v>
      </c>
      <c r="S33" s="116" t="s">
        <v>133</v>
      </c>
      <c r="T33" s="125" t="s">
        <v>137</v>
      </c>
      <c r="U33" s="118" t="s">
        <v>138</v>
      </c>
      <c r="W33" s="247"/>
      <c r="X33" s="249"/>
    </row>
    <row r="34" spans="3:24" x14ac:dyDescent="0.25">
      <c r="C34" s="1"/>
      <c r="D34" s="84">
        <v>1</v>
      </c>
      <c r="E34" s="85">
        <v>1930</v>
      </c>
      <c r="F34" s="85">
        <v>799</v>
      </c>
      <c r="G34" s="85">
        <v>3</v>
      </c>
      <c r="H34" s="86">
        <f t="shared" ref="H34:H58" si="7">VLOOKUP(E34,$K$5:$Q$9,G34)</f>
        <v>27.605400348384869</v>
      </c>
      <c r="I34" s="87">
        <f t="shared" ref="I34:I58" si="8">VLOOKUP(E34,$K$15:$Q$19,G34)</f>
        <v>56.736676038788744</v>
      </c>
      <c r="J34" s="104">
        <f t="shared" ref="J34:J58" si="9">+(H34*F34)</f>
        <v>22056.714878359511</v>
      </c>
      <c r="K34" s="88">
        <f t="shared" ref="K34:K58" si="10">+(F34*I34)</f>
        <v>45332.604154992208</v>
      </c>
      <c r="L34" s="94">
        <f>+CEILING((J34*0.9)/12000,0.5)</f>
        <v>2</v>
      </c>
      <c r="M34" s="86">
        <f t="shared" ref="M34:M58" si="11">+(J34*1.3)/12000</f>
        <v>2.3894774451556136</v>
      </c>
      <c r="N34" s="104">
        <f t="shared" ref="N34:N58" si="12">+(CEILING(K34,1000))</f>
        <v>46000</v>
      </c>
      <c r="O34" s="88">
        <f t="shared" ref="O34:O58" si="13">+(CEILING(K34*1.4,10000))</f>
        <v>70000</v>
      </c>
      <c r="R34" s="133">
        <f>VLOOKUP(E34,$A$5:$G$9,G34)</f>
        <v>1</v>
      </c>
      <c r="S34" s="128">
        <f>VLOOKUP(E34,$A$15:$G$19,G34)</f>
        <v>1</v>
      </c>
      <c r="T34" s="128" t="str">
        <f t="shared" ref="T34:T58" si="14">IF(R34=1,"",CEILING((R34*F34)/12000,0.5))</f>
        <v/>
      </c>
      <c r="U34" s="134" t="str">
        <f t="shared" ref="U34:U58" si="15">IF(S34=1,"",CEILING((S34*F34),10000))</f>
        <v/>
      </c>
      <c r="W34" s="149" t="str">
        <f>+(IF(R34=1,"",M34-T34))</f>
        <v/>
      </c>
      <c r="X34" s="142" t="str">
        <f>+(IF(S34=1,"",O34-U34))</f>
        <v/>
      </c>
    </row>
    <row r="35" spans="3:24" x14ac:dyDescent="0.25">
      <c r="C35" s="1"/>
      <c r="D35" s="76">
        <v>2</v>
      </c>
      <c r="E35" s="24">
        <v>1950</v>
      </c>
      <c r="F35" s="24">
        <v>799</v>
      </c>
      <c r="G35" s="24">
        <v>3</v>
      </c>
      <c r="H35" s="113">
        <f t="shared" si="7"/>
        <v>25.404342212753861</v>
      </c>
      <c r="I35" s="77">
        <f t="shared" si="8"/>
        <v>50.122549016790586</v>
      </c>
      <c r="J35" s="114">
        <f t="shared" si="9"/>
        <v>20298.069427990333</v>
      </c>
      <c r="K35" s="82">
        <f t="shared" si="10"/>
        <v>40047.916664415679</v>
      </c>
      <c r="L35" s="95">
        <f t="shared" ref="L35:L58" si="16">+(J35*0.9)/12000</f>
        <v>1.522355207099275</v>
      </c>
      <c r="M35" s="113">
        <f t="shared" si="11"/>
        <v>2.1989575213656196</v>
      </c>
      <c r="N35" s="114">
        <f t="shared" si="12"/>
        <v>41000</v>
      </c>
      <c r="O35" s="82">
        <f t="shared" si="13"/>
        <v>60000</v>
      </c>
      <c r="R35" s="135">
        <f t="shared" ref="R35:R58" si="17">VLOOKUP(E35,$A$5:$G$9,G35)</f>
        <v>1</v>
      </c>
      <c r="S35" s="129">
        <f t="shared" ref="S35:S58" si="18">VLOOKUP(E35,$A$15:$G$19,G35)</f>
        <v>1</v>
      </c>
      <c r="T35" s="129" t="str">
        <f t="shared" si="14"/>
        <v/>
      </c>
      <c r="U35" s="136" t="str">
        <f t="shared" si="15"/>
        <v/>
      </c>
      <c r="W35" s="149" t="str">
        <f t="shared" ref="W35:W58" si="19">+(IF(R35=1,"",M35-T35))</f>
        <v/>
      </c>
      <c r="X35" s="142" t="str">
        <f t="shared" ref="X35:X58" si="20">+(IF(S35=1,"",O35-U35))</f>
        <v/>
      </c>
    </row>
    <row r="36" spans="3:24" x14ac:dyDescent="0.25">
      <c r="C36" s="1"/>
      <c r="D36" s="76">
        <v>3</v>
      </c>
      <c r="E36" s="24">
        <v>1965</v>
      </c>
      <c r="F36" s="24">
        <v>799</v>
      </c>
      <c r="G36" s="24">
        <v>3</v>
      </c>
      <c r="H36" s="113">
        <f t="shared" si="7"/>
        <v>23.843165391156461</v>
      </c>
      <c r="I36" s="77">
        <f t="shared" si="8"/>
        <v>42.694581738945573</v>
      </c>
      <c r="J36" s="114">
        <f t="shared" si="9"/>
        <v>19050.689147534013</v>
      </c>
      <c r="K36" s="82">
        <f t="shared" si="10"/>
        <v>34112.970809417515</v>
      </c>
      <c r="L36" s="95">
        <f t="shared" si="16"/>
        <v>1.4288016860650512</v>
      </c>
      <c r="M36" s="113">
        <f t="shared" si="11"/>
        <v>2.0638246576495183</v>
      </c>
      <c r="N36" s="114">
        <f t="shared" si="12"/>
        <v>35000</v>
      </c>
      <c r="O36" s="82">
        <f t="shared" si="13"/>
        <v>50000</v>
      </c>
      <c r="R36" s="135">
        <f t="shared" si="17"/>
        <v>1</v>
      </c>
      <c r="S36" s="129">
        <f t="shared" si="18"/>
        <v>1</v>
      </c>
      <c r="T36" s="129" t="str">
        <f t="shared" si="14"/>
        <v/>
      </c>
      <c r="U36" s="136" t="str">
        <f t="shared" si="15"/>
        <v/>
      </c>
      <c r="W36" s="149" t="str">
        <f t="shared" si="19"/>
        <v/>
      </c>
      <c r="X36" s="142" t="str">
        <f t="shared" si="20"/>
        <v/>
      </c>
    </row>
    <row r="37" spans="3:24" x14ac:dyDescent="0.25">
      <c r="C37" s="1"/>
      <c r="D37" s="76">
        <v>4</v>
      </c>
      <c r="E37" s="24">
        <v>1980</v>
      </c>
      <c r="F37" s="24">
        <v>799</v>
      </c>
      <c r="G37" s="24">
        <v>3</v>
      </c>
      <c r="H37" s="113">
        <f t="shared" si="7"/>
        <v>24</v>
      </c>
      <c r="I37" s="77">
        <f t="shared" si="8"/>
        <v>40</v>
      </c>
      <c r="J37" s="114">
        <f t="shared" si="9"/>
        <v>19176</v>
      </c>
      <c r="K37" s="82">
        <f t="shared" si="10"/>
        <v>31960</v>
      </c>
      <c r="L37" s="95">
        <f t="shared" si="16"/>
        <v>1.4382000000000001</v>
      </c>
      <c r="M37" s="113">
        <f t="shared" si="11"/>
        <v>2.0773999999999999</v>
      </c>
      <c r="N37" s="114">
        <f t="shared" si="12"/>
        <v>32000</v>
      </c>
      <c r="O37" s="82">
        <f t="shared" si="13"/>
        <v>50000</v>
      </c>
      <c r="R37" s="135">
        <f t="shared" si="17"/>
        <v>1</v>
      </c>
      <c r="S37" s="129">
        <f t="shared" si="18"/>
        <v>1</v>
      </c>
      <c r="T37" s="129" t="str">
        <f t="shared" si="14"/>
        <v/>
      </c>
      <c r="U37" s="136" t="str">
        <f t="shared" si="15"/>
        <v/>
      </c>
      <c r="W37" s="149" t="str">
        <f t="shared" si="19"/>
        <v/>
      </c>
      <c r="X37" s="142" t="str">
        <f t="shared" si="20"/>
        <v/>
      </c>
    </row>
    <row r="38" spans="3:24" x14ac:dyDescent="0.25">
      <c r="C38" s="1"/>
      <c r="D38" s="89">
        <v>5</v>
      </c>
      <c r="E38" s="90">
        <v>2000</v>
      </c>
      <c r="F38" s="90">
        <v>799</v>
      </c>
      <c r="G38" s="90">
        <v>3</v>
      </c>
      <c r="H38" s="91">
        <f t="shared" si="7"/>
        <v>24</v>
      </c>
      <c r="I38" s="92">
        <f t="shared" si="8"/>
        <v>37</v>
      </c>
      <c r="J38" s="105">
        <f t="shared" si="9"/>
        <v>19176</v>
      </c>
      <c r="K38" s="93">
        <f t="shared" si="10"/>
        <v>29563</v>
      </c>
      <c r="L38" s="96">
        <f t="shared" si="16"/>
        <v>1.4382000000000001</v>
      </c>
      <c r="M38" s="91">
        <f t="shared" si="11"/>
        <v>2.0773999999999999</v>
      </c>
      <c r="N38" s="105">
        <f t="shared" si="12"/>
        <v>30000</v>
      </c>
      <c r="O38" s="93">
        <f t="shared" si="13"/>
        <v>50000</v>
      </c>
      <c r="R38" s="137">
        <f t="shared" si="17"/>
        <v>1</v>
      </c>
      <c r="S38" s="130">
        <f t="shared" si="18"/>
        <v>1</v>
      </c>
      <c r="T38" s="130" t="str">
        <f t="shared" si="14"/>
        <v/>
      </c>
      <c r="U38" s="138" t="str">
        <f t="shared" si="15"/>
        <v/>
      </c>
      <c r="W38" s="150" t="str">
        <f t="shared" si="19"/>
        <v/>
      </c>
      <c r="X38" s="144" t="str">
        <f t="shared" si="20"/>
        <v/>
      </c>
    </row>
    <row r="39" spans="3:24" x14ac:dyDescent="0.25">
      <c r="C39" s="1"/>
      <c r="D39" s="84">
        <v>6</v>
      </c>
      <c r="E39" s="85">
        <v>1930</v>
      </c>
      <c r="F39" s="85">
        <v>1199</v>
      </c>
      <c r="G39" s="85">
        <v>4</v>
      </c>
      <c r="H39" s="86">
        <f t="shared" si="7"/>
        <v>21.964510921318134</v>
      </c>
      <c r="I39" s="87">
        <f t="shared" si="8"/>
        <v>43</v>
      </c>
      <c r="J39" s="104">
        <f t="shared" si="9"/>
        <v>26335.448594660444</v>
      </c>
      <c r="K39" s="88">
        <f t="shared" si="10"/>
        <v>51557</v>
      </c>
      <c r="L39" s="94">
        <f t="shared" si="16"/>
        <v>1.9751586445995333</v>
      </c>
      <c r="M39" s="86">
        <f t="shared" si="11"/>
        <v>2.8530069310882147</v>
      </c>
      <c r="N39" s="104">
        <f t="shared" si="12"/>
        <v>52000</v>
      </c>
      <c r="O39" s="88">
        <f t="shared" si="13"/>
        <v>80000</v>
      </c>
      <c r="R39" s="139">
        <f t="shared" si="17"/>
        <v>24</v>
      </c>
      <c r="S39" s="131">
        <f t="shared" si="18"/>
        <v>58</v>
      </c>
      <c r="T39" s="131">
        <f t="shared" si="14"/>
        <v>2.5</v>
      </c>
      <c r="U39" s="140">
        <f t="shared" si="15"/>
        <v>70000</v>
      </c>
      <c r="W39" s="151">
        <f t="shared" si="19"/>
        <v>0.35300693108821468</v>
      </c>
      <c r="X39" s="140">
        <f t="shared" si="20"/>
        <v>10000</v>
      </c>
    </row>
    <row r="40" spans="3:24" x14ac:dyDescent="0.25">
      <c r="C40" s="1"/>
      <c r="D40" s="76">
        <v>7</v>
      </c>
      <c r="E40" s="24">
        <v>1950</v>
      </c>
      <c r="F40" s="24">
        <v>1199</v>
      </c>
      <c r="G40" s="24">
        <v>4</v>
      </c>
      <c r="H40" s="113">
        <f t="shared" si="7"/>
        <v>22</v>
      </c>
      <c r="I40" s="77">
        <f t="shared" si="8"/>
        <v>43.484695819094881</v>
      </c>
      <c r="J40" s="114">
        <f t="shared" si="9"/>
        <v>26378</v>
      </c>
      <c r="K40" s="82">
        <f t="shared" si="10"/>
        <v>52138.150287094766</v>
      </c>
      <c r="L40" s="95">
        <f t="shared" si="16"/>
        <v>1.9783500000000001</v>
      </c>
      <c r="M40" s="113">
        <f t="shared" si="11"/>
        <v>2.8576166666666669</v>
      </c>
      <c r="N40" s="114">
        <f t="shared" si="12"/>
        <v>53000</v>
      </c>
      <c r="O40" s="82">
        <f t="shared" si="13"/>
        <v>80000</v>
      </c>
      <c r="R40" s="141">
        <f t="shared" si="17"/>
        <v>20.869565217391305</v>
      </c>
      <c r="S40" s="29">
        <f t="shared" si="18"/>
        <v>60</v>
      </c>
      <c r="T40" s="29">
        <f t="shared" si="14"/>
        <v>2.5</v>
      </c>
      <c r="U40" s="142">
        <f t="shared" si="15"/>
        <v>80000</v>
      </c>
      <c r="W40" s="149">
        <f t="shared" si="19"/>
        <v>0.35761666666666692</v>
      </c>
      <c r="X40" s="142">
        <f t="shared" si="20"/>
        <v>0</v>
      </c>
    </row>
    <row r="41" spans="3:24" x14ac:dyDescent="0.25">
      <c r="C41" s="1"/>
      <c r="D41" s="76">
        <v>8</v>
      </c>
      <c r="E41" s="24">
        <v>1965</v>
      </c>
      <c r="F41" s="24">
        <v>1199</v>
      </c>
      <c r="G41" s="24">
        <v>4</v>
      </c>
      <c r="H41" s="113">
        <f t="shared" si="7"/>
        <v>21.574906509723931</v>
      </c>
      <c r="I41" s="77">
        <f t="shared" si="8"/>
        <v>43.176689620019481</v>
      </c>
      <c r="J41" s="114">
        <f t="shared" si="9"/>
        <v>25868.312905158993</v>
      </c>
      <c r="K41" s="82">
        <f t="shared" si="10"/>
        <v>51768.850854403354</v>
      </c>
      <c r="L41" s="95">
        <f t="shared" si="16"/>
        <v>1.9401234678869244</v>
      </c>
      <c r="M41" s="113">
        <f t="shared" si="11"/>
        <v>2.8024005647255574</v>
      </c>
      <c r="N41" s="114">
        <f t="shared" si="12"/>
        <v>52000</v>
      </c>
      <c r="O41" s="82">
        <f t="shared" si="13"/>
        <v>80000</v>
      </c>
      <c r="R41" s="141">
        <f t="shared" si="17"/>
        <v>20.869565217391305</v>
      </c>
      <c r="S41" s="29">
        <f t="shared" si="18"/>
        <v>63</v>
      </c>
      <c r="T41" s="29">
        <f t="shared" si="14"/>
        <v>2.5</v>
      </c>
      <c r="U41" s="142">
        <f t="shared" si="15"/>
        <v>80000</v>
      </c>
      <c r="W41" s="149">
        <f t="shared" si="19"/>
        <v>0.30240056472555743</v>
      </c>
      <c r="X41" s="142">
        <f t="shared" si="20"/>
        <v>0</v>
      </c>
    </row>
    <row r="42" spans="3:24" x14ac:dyDescent="0.25">
      <c r="C42" s="1"/>
      <c r="D42" s="76">
        <v>9</v>
      </c>
      <c r="E42" s="24">
        <v>1980</v>
      </c>
      <c r="F42" s="24">
        <v>1199</v>
      </c>
      <c r="G42" s="24">
        <v>4</v>
      </c>
      <c r="H42" s="113">
        <f t="shared" si="7"/>
        <v>22.062983931011257</v>
      </c>
      <c r="I42" s="77">
        <f t="shared" si="8"/>
        <v>39</v>
      </c>
      <c r="J42" s="114">
        <f t="shared" si="9"/>
        <v>26453.517733282497</v>
      </c>
      <c r="K42" s="82">
        <f t="shared" si="10"/>
        <v>46761</v>
      </c>
      <c r="L42" s="95">
        <f t="shared" si="16"/>
        <v>1.9840138299961874</v>
      </c>
      <c r="M42" s="113">
        <f t="shared" si="11"/>
        <v>2.8657977544389373</v>
      </c>
      <c r="N42" s="114">
        <f t="shared" si="12"/>
        <v>47000</v>
      </c>
      <c r="O42" s="82">
        <f t="shared" si="13"/>
        <v>70000</v>
      </c>
      <c r="R42" s="141">
        <f t="shared" si="17"/>
        <v>21.818181818181817</v>
      </c>
      <c r="S42" s="29">
        <f t="shared" si="18"/>
        <v>58</v>
      </c>
      <c r="T42" s="29">
        <f t="shared" si="14"/>
        <v>2.5</v>
      </c>
      <c r="U42" s="142">
        <f t="shared" si="15"/>
        <v>70000</v>
      </c>
      <c r="W42" s="149">
        <f t="shared" si="19"/>
        <v>0.36579775443893725</v>
      </c>
      <c r="X42" s="142">
        <f t="shared" si="20"/>
        <v>0</v>
      </c>
    </row>
    <row r="43" spans="3:24" x14ac:dyDescent="0.25">
      <c r="C43" s="1"/>
      <c r="D43" s="89">
        <v>10</v>
      </c>
      <c r="E43" s="90">
        <v>2000</v>
      </c>
      <c r="F43" s="90">
        <v>1199</v>
      </c>
      <c r="G43" s="90">
        <v>4</v>
      </c>
      <c r="H43" s="91">
        <f t="shared" si="7"/>
        <v>17.999162479061976</v>
      </c>
      <c r="I43" s="92">
        <f t="shared" si="8"/>
        <v>34.417085427135682</v>
      </c>
      <c r="J43" s="105">
        <f t="shared" si="9"/>
        <v>21580.995812395307</v>
      </c>
      <c r="K43" s="93">
        <f t="shared" si="10"/>
        <v>41266.08542713568</v>
      </c>
      <c r="L43" s="96">
        <f t="shared" si="16"/>
        <v>1.6185746859296481</v>
      </c>
      <c r="M43" s="91">
        <f t="shared" si="11"/>
        <v>2.3379412130094916</v>
      </c>
      <c r="N43" s="105">
        <f t="shared" si="12"/>
        <v>42000</v>
      </c>
      <c r="O43" s="93">
        <f t="shared" si="13"/>
        <v>60000</v>
      </c>
      <c r="R43" s="137">
        <f t="shared" si="17"/>
        <v>1</v>
      </c>
      <c r="S43" s="130">
        <f t="shared" si="18"/>
        <v>1</v>
      </c>
      <c r="T43" s="130" t="str">
        <f t="shared" si="14"/>
        <v/>
      </c>
      <c r="U43" s="138" t="str">
        <f t="shared" si="15"/>
        <v/>
      </c>
      <c r="W43" s="150" t="str">
        <f t="shared" si="19"/>
        <v/>
      </c>
      <c r="X43" s="144" t="str">
        <f t="shared" si="20"/>
        <v/>
      </c>
    </row>
    <row r="44" spans="3:24" x14ac:dyDescent="0.25">
      <c r="C44" s="1"/>
      <c r="D44" s="84">
        <v>11</v>
      </c>
      <c r="E44" s="85">
        <v>1930</v>
      </c>
      <c r="F44" s="85">
        <v>1799</v>
      </c>
      <c r="G44" s="85">
        <v>5</v>
      </c>
      <c r="H44" s="86">
        <f t="shared" si="7"/>
        <v>18</v>
      </c>
      <c r="I44" s="87">
        <f t="shared" si="8"/>
        <v>37</v>
      </c>
      <c r="J44" s="104">
        <f t="shared" si="9"/>
        <v>32382</v>
      </c>
      <c r="K44" s="88">
        <f t="shared" si="10"/>
        <v>66563</v>
      </c>
      <c r="L44" s="94">
        <f t="shared" si="16"/>
        <v>2.4286499999999998</v>
      </c>
      <c r="M44" s="86">
        <f t="shared" si="11"/>
        <v>3.5080499999999999</v>
      </c>
      <c r="N44" s="104">
        <f t="shared" si="12"/>
        <v>67000</v>
      </c>
      <c r="O44" s="88">
        <f t="shared" si="13"/>
        <v>100000</v>
      </c>
      <c r="R44" s="139">
        <f t="shared" si="17"/>
        <v>20</v>
      </c>
      <c r="S44" s="131">
        <f t="shared" si="18"/>
        <v>47</v>
      </c>
      <c r="T44" s="131">
        <f t="shared" si="14"/>
        <v>3</v>
      </c>
      <c r="U44" s="140">
        <f t="shared" si="15"/>
        <v>90000</v>
      </c>
      <c r="W44" s="151">
        <f t="shared" si="19"/>
        <v>0.50804999999999989</v>
      </c>
      <c r="X44" s="140">
        <f t="shared" si="20"/>
        <v>10000</v>
      </c>
    </row>
    <row r="45" spans="3:24" x14ac:dyDescent="0.25">
      <c r="C45" s="1"/>
      <c r="D45" s="76">
        <v>12</v>
      </c>
      <c r="E45" s="24">
        <v>1950</v>
      </c>
      <c r="F45" s="24">
        <v>1799</v>
      </c>
      <c r="G45" s="24">
        <v>5</v>
      </c>
      <c r="H45" s="113">
        <f t="shared" si="7"/>
        <v>17</v>
      </c>
      <c r="I45" s="77">
        <f t="shared" si="8"/>
        <v>35</v>
      </c>
      <c r="J45" s="114">
        <f t="shared" si="9"/>
        <v>30583</v>
      </c>
      <c r="K45" s="82">
        <f t="shared" si="10"/>
        <v>62965</v>
      </c>
      <c r="L45" s="95">
        <f t="shared" si="16"/>
        <v>2.2937250000000002</v>
      </c>
      <c r="M45" s="113">
        <f t="shared" si="11"/>
        <v>3.3131583333333334</v>
      </c>
      <c r="N45" s="114">
        <f t="shared" si="12"/>
        <v>63000</v>
      </c>
      <c r="O45" s="82">
        <f t="shared" si="13"/>
        <v>90000</v>
      </c>
      <c r="R45" s="141">
        <f t="shared" si="17"/>
        <v>17.142857142857142</v>
      </c>
      <c r="S45" s="29">
        <f t="shared" si="18"/>
        <v>48</v>
      </c>
      <c r="T45" s="29">
        <f t="shared" si="14"/>
        <v>3</v>
      </c>
      <c r="U45" s="142">
        <f t="shared" si="15"/>
        <v>90000</v>
      </c>
      <c r="W45" s="149">
        <f t="shared" si="19"/>
        <v>0.31315833333333343</v>
      </c>
      <c r="X45" s="142">
        <f t="shared" si="20"/>
        <v>0</v>
      </c>
    </row>
    <row r="46" spans="3:24" x14ac:dyDescent="0.25">
      <c r="C46" s="98" t="s">
        <v>122</v>
      </c>
      <c r="D46" s="99">
        <v>13</v>
      </c>
      <c r="E46" s="123">
        <v>1965</v>
      </c>
      <c r="F46" s="123">
        <v>1799</v>
      </c>
      <c r="G46" s="123">
        <v>5</v>
      </c>
      <c r="H46" s="124">
        <f t="shared" si="7"/>
        <v>17</v>
      </c>
      <c r="I46" s="100">
        <f t="shared" si="8"/>
        <v>35.063114852664583</v>
      </c>
      <c r="J46" s="115">
        <f t="shared" si="9"/>
        <v>30583</v>
      </c>
      <c r="K46" s="101">
        <f t="shared" si="10"/>
        <v>63078.543619943586</v>
      </c>
      <c r="L46" s="102">
        <f t="shared" si="16"/>
        <v>2.2937250000000002</v>
      </c>
      <c r="M46" s="124">
        <f t="shared" si="11"/>
        <v>3.3131583333333334</v>
      </c>
      <c r="N46" s="115">
        <f t="shared" si="12"/>
        <v>64000</v>
      </c>
      <c r="O46" s="101">
        <f t="shared" si="13"/>
        <v>90000</v>
      </c>
      <c r="R46" s="141">
        <f t="shared" si="17"/>
        <v>17.777777777777779</v>
      </c>
      <c r="S46" s="29">
        <f t="shared" si="18"/>
        <v>48</v>
      </c>
      <c r="T46" s="29">
        <f t="shared" si="14"/>
        <v>3</v>
      </c>
      <c r="U46" s="142">
        <f t="shared" si="15"/>
        <v>90000</v>
      </c>
      <c r="W46" s="149">
        <f t="shared" si="19"/>
        <v>0.31315833333333343</v>
      </c>
      <c r="X46" s="142">
        <f t="shared" si="20"/>
        <v>0</v>
      </c>
    </row>
    <row r="47" spans="3:24" x14ac:dyDescent="0.25">
      <c r="C47" s="1"/>
      <c r="D47" s="76">
        <v>14</v>
      </c>
      <c r="E47" s="24">
        <v>1980</v>
      </c>
      <c r="F47" s="24">
        <v>1799</v>
      </c>
      <c r="G47" s="24">
        <v>5</v>
      </c>
      <c r="H47" s="113">
        <f t="shared" si="7"/>
        <v>15</v>
      </c>
      <c r="I47" s="77">
        <f t="shared" si="8"/>
        <v>34.018704022060966</v>
      </c>
      <c r="J47" s="114">
        <f t="shared" si="9"/>
        <v>26985</v>
      </c>
      <c r="K47" s="82">
        <f t="shared" si="10"/>
        <v>61199.64853568768</v>
      </c>
      <c r="L47" s="95">
        <f t="shared" si="16"/>
        <v>2.0238749999999999</v>
      </c>
      <c r="M47" s="113">
        <f t="shared" si="11"/>
        <v>2.9233750000000001</v>
      </c>
      <c r="N47" s="114">
        <f t="shared" si="12"/>
        <v>62000</v>
      </c>
      <c r="O47" s="82">
        <f t="shared" si="13"/>
        <v>90000</v>
      </c>
      <c r="R47" s="141">
        <f t="shared" si="17"/>
        <v>16.551724137931036</v>
      </c>
      <c r="S47" s="29">
        <f t="shared" si="18"/>
        <v>47</v>
      </c>
      <c r="T47" s="29">
        <f t="shared" si="14"/>
        <v>2.5</v>
      </c>
      <c r="U47" s="142">
        <f t="shared" si="15"/>
        <v>90000</v>
      </c>
      <c r="W47" s="149">
        <f t="shared" si="19"/>
        <v>0.42337500000000006</v>
      </c>
      <c r="X47" s="142">
        <f t="shared" si="20"/>
        <v>0</v>
      </c>
    </row>
    <row r="48" spans="3:24" x14ac:dyDescent="0.25">
      <c r="C48" s="1"/>
      <c r="D48" s="89">
        <v>15</v>
      </c>
      <c r="E48" s="90">
        <v>2000</v>
      </c>
      <c r="F48" s="90">
        <v>1799</v>
      </c>
      <c r="G48" s="90">
        <v>5</v>
      </c>
      <c r="H48" s="91">
        <f t="shared" si="7"/>
        <v>15</v>
      </c>
      <c r="I48" s="92">
        <f t="shared" si="8"/>
        <v>32.14612689532126</v>
      </c>
      <c r="J48" s="105">
        <f t="shared" si="9"/>
        <v>26985</v>
      </c>
      <c r="K48" s="93">
        <f t="shared" si="10"/>
        <v>57830.882284682943</v>
      </c>
      <c r="L48" s="96">
        <f t="shared" si="16"/>
        <v>2.0238749999999999</v>
      </c>
      <c r="M48" s="91">
        <f t="shared" si="11"/>
        <v>2.9233750000000001</v>
      </c>
      <c r="N48" s="105">
        <f t="shared" si="12"/>
        <v>58000</v>
      </c>
      <c r="O48" s="93">
        <f t="shared" si="13"/>
        <v>90000</v>
      </c>
      <c r="R48" s="143">
        <f t="shared" si="17"/>
        <v>16.551724137931036</v>
      </c>
      <c r="S48" s="132">
        <f t="shared" si="18"/>
        <v>47</v>
      </c>
      <c r="T48" s="132">
        <f t="shared" si="14"/>
        <v>2.5</v>
      </c>
      <c r="U48" s="144">
        <f t="shared" si="15"/>
        <v>90000</v>
      </c>
      <c r="W48" s="150">
        <f t="shared" si="19"/>
        <v>0.42337500000000006</v>
      </c>
      <c r="X48" s="144">
        <f t="shared" si="20"/>
        <v>0</v>
      </c>
    </row>
    <row r="49" spans="3:24" x14ac:dyDescent="0.25">
      <c r="C49" s="1"/>
      <c r="D49" s="84">
        <v>16</v>
      </c>
      <c r="E49" s="85">
        <v>1930</v>
      </c>
      <c r="F49" s="85">
        <v>2299</v>
      </c>
      <c r="G49" s="85">
        <v>6</v>
      </c>
      <c r="H49" s="86">
        <f t="shared" si="7"/>
        <v>14</v>
      </c>
      <c r="I49" s="87">
        <f t="shared" si="8"/>
        <v>31</v>
      </c>
      <c r="J49" s="104">
        <f t="shared" si="9"/>
        <v>32186</v>
      </c>
      <c r="K49" s="88">
        <f t="shared" si="10"/>
        <v>71269</v>
      </c>
      <c r="L49" s="94">
        <f t="shared" si="16"/>
        <v>2.4139500000000003</v>
      </c>
      <c r="M49" s="86">
        <f t="shared" si="11"/>
        <v>3.4868166666666669</v>
      </c>
      <c r="N49" s="104">
        <f t="shared" si="12"/>
        <v>72000</v>
      </c>
      <c r="O49" s="88">
        <f t="shared" si="13"/>
        <v>100000</v>
      </c>
      <c r="R49" s="139">
        <f t="shared" si="17"/>
        <v>13.714285714285714</v>
      </c>
      <c r="S49" s="131">
        <f t="shared" si="18"/>
        <v>38</v>
      </c>
      <c r="T49" s="131">
        <f t="shared" si="14"/>
        <v>3</v>
      </c>
      <c r="U49" s="140">
        <f t="shared" si="15"/>
        <v>90000</v>
      </c>
      <c r="W49" s="151">
        <f t="shared" si="19"/>
        <v>0.4868166666666669</v>
      </c>
      <c r="X49" s="140">
        <f t="shared" si="20"/>
        <v>10000</v>
      </c>
    </row>
    <row r="50" spans="3:24" x14ac:dyDescent="0.25">
      <c r="C50" s="1"/>
      <c r="D50" s="76">
        <v>17</v>
      </c>
      <c r="E50" s="24">
        <v>1950</v>
      </c>
      <c r="F50" s="24">
        <v>2299</v>
      </c>
      <c r="G50" s="24">
        <v>6</v>
      </c>
      <c r="H50" s="113">
        <f t="shared" si="7"/>
        <v>14</v>
      </c>
      <c r="I50" s="77">
        <f t="shared" si="8"/>
        <v>31</v>
      </c>
      <c r="J50" s="114">
        <f t="shared" si="9"/>
        <v>32186</v>
      </c>
      <c r="K50" s="82">
        <f t="shared" si="10"/>
        <v>71269</v>
      </c>
      <c r="L50" s="95">
        <f t="shared" si="16"/>
        <v>2.4139500000000003</v>
      </c>
      <c r="M50" s="113">
        <f t="shared" si="11"/>
        <v>3.4868166666666669</v>
      </c>
      <c r="N50" s="114">
        <f t="shared" si="12"/>
        <v>72000</v>
      </c>
      <c r="O50" s="82">
        <f t="shared" si="13"/>
        <v>100000</v>
      </c>
      <c r="R50" s="141">
        <f t="shared" si="17"/>
        <v>13.714285714285714</v>
      </c>
      <c r="S50" s="29">
        <f t="shared" si="18"/>
        <v>37</v>
      </c>
      <c r="T50" s="29">
        <f t="shared" si="14"/>
        <v>3</v>
      </c>
      <c r="U50" s="142">
        <f t="shared" si="15"/>
        <v>90000</v>
      </c>
      <c r="W50" s="149">
        <f t="shared" si="19"/>
        <v>0.4868166666666669</v>
      </c>
      <c r="X50" s="142">
        <f t="shared" si="20"/>
        <v>10000</v>
      </c>
    </row>
    <row r="51" spans="3:24" x14ac:dyDescent="0.25">
      <c r="C51" s="1"/>
      <c r="D51" s="76">
        <v>18</v>
      </c>
      <c r="E51" s="24">
        <v>1965</v>
      </c>
      <c r="F51" s="24">
        <v>2299</v>
      </c>
      <c r="G51" s="24">
        <v>6</v>
      </c>
      <c r="H51" s="113">
        <f t="shared" si="7"/>
        <v>14</v>
      </c>
      <c r="I51" s="77">
        <f t="shared" si="8"/>
        <v>31</v>
      </c>
      <c r="J51" s="114">
        <f t="shared" si="9"/>
        <v>32186</v>
      </c>
      <c r="K51" s="82">
        <f t="shared" si="10"/>
        <v>71269</v>
      </c>
      <c r="L51" s="95">
        <f t="shared" si="16"/>
        <v>2.4139500000000003</v>
      </c>
      <c r="M51" s="113">
        <f t="shared" si="11"/>
        <v>3.4868166666666669</v>
      </c>
      <c r="N51" s="114">
        <f t="shared" si="12"/>
        <v>72000</v>
      </c>
      <c r="O51" s="82">
        <f t="shared" si="13"/>
        <v>100000</v>
      </c>
      <c r="R51" s="141">
        <f t="shared" si="17"/>
        <v>15.483870967741936</v>
      </c>
      <c r="S51" s="29">
        <f t="shared" si="18"/>
        <v>40</v>
      </c>
      <c r="T51" s="29">
        <f t="shared" si="14"/>
        <v>3</v>
      </c>
      <c r="U51" s="142">
        <f t="shared" si="15"/>
        <v>100000</v>
      </c>
      <c r="W51" s="149">
        <f t="shared" si="19"/>
        <v>0.4868166666666669</v>
      </c>
      <c r="X51" s="142">
        <f t="shared" si="20"/>
        <v>0</v>
      </c>
    </row>
    <row r="52" spans="3:24" x14ac:dyDescent="0.25">
      <c r="C52" s="1"/>
      <c r="D52" s="76">
        <v>19</v>
      </c>
      <c r="E52" s="24">
        <v>1980</v>
      </c>
      <c r="F52" s="24">
        <v>2299</v>
      </c>
      <c r="G52" s="24">
        <v>6</v>
      </c>
      <c r="H52" s="113">
        <f t="shared" si="7"/>
        <v>13</v>
      </c>
      <c r="I52" s="77">
        <f t="shared" si="8"/>
        <v>29</v>
      </c>
      <c r="J52" s="114">
        <f t="shared" si="9"/>
        <v>29887</v>
      </c>
      <c r="K52" s="82">
        <f t="shared" si="10"/>
        <v>66671</v>
      </c>
      <c r="L52" s="95">
        <f t="shared" si="16"/>
        <v>2.2415249999999998</v>
      </c>
      <c r="M52" s="113">
        <f t="shared" si="11"/>
        <v>3.2377583333333333</v>
      </c>
      <c r="N52" s="114">
        <f t="shared" si="12"/>
        <v>67000</v>
      </c>
      <c r="O52" s="82">
        <f t="shared" si="13"/>
        <v>100000</v>
      </c>
      <c r="R52" s="141">
        <f t="shared" si="17"/>
        <v>13.714285714285714</v>
      </c>
      <c r="S52" s="29">
        <f t="shared" si="18"/>
        <v>40</v>
      </c>
      <c r="T52" s="29">
        <f t="shared" si="14"/>
        <v>3</v>
      </c>
      <c r="U52" s="142">
        <f t="shared" si="15"/>
        <v>100000</v>
      </c>
      <c r="W52" s="149">
        <f t="shared" si="19"/>
        <v>0.23775833333333329</v>
      </c>
      <c r="X52" s="142">
        <f t="shared" si="20"/>
        <v>0</v>
      </c>
    </row>
    <row r="53" spans="3:24" x14ac:dyDescent="0.25">
      <c r="C53" s="1"/>
      <c r="D53" s="89">
        <v>20</v>
      </c>
      <c r="E53" s="90">
        <v>2000</v>
      </c>
      <c r="F53" s="90">
        <v>2299</v>
      </c>
      <c r="G53" s="90">
        <v>6</v>
      </c>
      <c r="H53" s="91">
        <f t="shared" si="7"/>
        <v>13</v>
      </c>
      <c r="I53" s="92">
        <f t="shared" si="8"/>
        <v>27.930603257068928</v>
      </c>
      <c r="J53" s="105">
        <f t="shared" si="9"/>
        <v>29887</v>
      </c>
      <c r="K53" s="93">
        <f t="shared" si="10"/>
        <v>64212.456888001463</v>
      </c>
      <c r="L53" s="96">
        <f t="shared" si="16"/>
        <v>2.2415249999999998</v>
      </c>
      <c r="M53" s="91">
        <f t="shared" si="11"/>
        <v>3.2377583333333333</v>
      </c>
      <c r="N53" s="105">
        <f t="shared" si="12"/>
        <v>65000</v>
      </c>
      <c r="O53" s="93">
        <f t="shared" si="13"/>
        <v>90000</v>
      </c>
      <c r="R53" s="143">
        <f t="shared" si="17"/>
        <v>13.333333333333334</v>
      </c>
      <c r="S53" s="132">
        <f t="shared" si="18"/>
        <v>38</v>
      </c>
      <c r="T53" s="132">
        <f t="shared" si="14"/>
        <v>3</v>
      </c>
      <c r="U53" s="144">
        <f t="shared" si="15"/>
        <v>90000</v>
      </c>
      <c r="W53" s="150">
        <f t="shared" si="19"/>
        <v>0.23775833333333329</v>
      </c>
      <c r="X53" s="144">
        <f t="shared" si="20"/>
        <v>0</v>
      </c>
    </row>
    <row r="54" spans="3:24" x14ac:dyDescent="0.25">
      <c r="C54" s="1"/>
      <c r="D54" s="84">
        <v>21</v>
      </c>
      <c r="E54" s="85">
        <v>1930</v>
      </c>
      <c r="F54" s="85">
        <v>4000</v>
      </c>
      <c r="G54" s="85">
        <v>7</v>
      </c>
      <c r="H54" s="86">
        <f t="shared" si="7"/>
        <v>12</v>
      </c>
      <c r="I54" s="87">
        <f t="shared" si="8"/>
        <v>28</v>
      </c>
      <c r="J54" s="104">
        <f t="shared" si="9"/>
        <v>48000</v>
      </c>
      <c r="K54" s="88">
        <f t="shared" si="10"/>
        <v>112000</v>
      </c>
      <c r="L54" s="94">
        <f t="shared" si="16"/>
        <v>3.6</v>
      </c>
      <c r="M54" s="86">
        <f t="shared" si="11"/>
        <v>5.2</v>
      </c>
      <c r="N54" s="104">
        <f t="shared" si="12"/>
        <v>112000</v>
      </c>
      <c r="O54" s="88">
        <f t="shared" si="13"/>
        <v>160000</v>
      </c>
      <c r="R54" s="139">
        <f t="shared" si="17"/>
        <v>12.972972972972974</v>
      </c>
      <c r="S54" s="128">
        <f t="shared" si="18"/>
        <v>1</v>
      </c>
      <c r="T54" s="131">
        <f t="shared" si="14"/>
        <v>4.5</v>
      </c>
      <c r="U54" s="134" t="str">
        <f t="shared" si="15"/>
        <v/>
      </c>
      <c r="W54" s="151">
        <f t="shared" si="19"/>
        <v>0.70000000000000018</v>
      </c>
      <c r="X54" s="140" t="str">
        <f t="shared" si="20"/>
        <v/>
      </c>
    </row>
    <row r="55" spans="3:24" x14ac:dyDescent="0.25">
      <c r="C55" s="1"/>
      <c r="D55" s="76">
        <v>22</v>
      </c>
      <c r="E55" s="24">
        <v>1950</v>
      </c>
      <c r="F55" s="24">
        <v>4000</v>
      </c>
      <c r="G55" s="24">
        <v>7</v>
      </c>
      <c r="H55" s="113">
        <f t="shared" si="7"/>
        <v>12</v>
      </c>
      <c r="I55" s="77">
        <f t="shared" si="8"/>
        <v>28.099955585666624</v>
      </c>
      <c r="J55" s="114">
        <f t="shared" si="9"/>
        <v>48000</v>
      </c>
      <c r="K55" s="82">
        <f t="shared" si="10"/>
        <v>112399.82234266649</v>
      </c>
      <c r="L55" s="95">
        <f t="shared" si="16"/>
        <v>3.6</v>
      </c>
      <c r="M55" s="113">
        <f t="shared" si="11"/>
        <v>5.2</v>
      </c>
      <c r="N55" s="114">
        <f t="shared" si="12"/>
        <v>113000</v>
      </c>
      <c r="O55" s="82">
        <f t="shared" si="13"/>
        <v>160000</v>
      </c>
      <c r="R55" s="135">
        <f t="shared" si="17"/>
        <v>1</v>
      </c>
      <c r="S55" s="129">
        <f t="shared" si="18"/>
        <v>1</v>
      </c>
      <c r="T55" s="129" t="str">
        <f t="shared" si="14"/>
        <v/>
      </c>
      <c r="U55" s="136" t="str">
        <f t="shared" si="15"/>
        <v/>
      </c>
      <c r="W55" s="149" t="str">
        <f t="shared" si="19"/>
        <v/>
      </c>
      <c r="X55" s="142" t="str">
        <f t="shared" si="20"/>
        <v/>
      </c>
    </row>
    <row r="56" spans="3:24" x14ac:dyDescent="0.25">
      <c r="C56" s="1"/>
      <c r="D56" s="76">
        <v>23</v>
      </c>
      <c r="E56" s="24">
        <v>1965</v>
      </c>
      <c r="F56" s="24">
        <v>4000</v>
      </c>
      <c r="G56" s="24">
        <v>7</v>
      </c>
      <c r="H56" s="113">
        <f t="shared" si="7"/>
        <v>11</v>
      </c>
      <c r="I56" s="77">
        <f t="shared" si="8"/>
        <v>26</v>
      </c>
      <c r="J56" s="114">
        <f t="shared" si="9"/>
        <v>44000</v>
      </c>
      <c r="K56" s="82">
        <f t="shared" si="10"/>
        <v>104000</v>
      </c>
      <c r="L56" s="95">
        <f t="shared" si="16"/>
        <v>3.3</v>
      </c>
      <c r="M56" s="113">
        <f t="shared" si="11"/>
        <v>4.7666666666666666</v>
      </c>
      <c r="N56" s="114">
        <f t="shared" si="12"/>
        <v>104000</v>
      </c>
      <c r="O56" s="82">
        <f t="shared" si="13"/>
        <v>150000</v>
      </c>
      <c r="R56" s="135">
        <f t="shared" si="17"/>
        <v>1</v>
      </c>
      <c r="S56" s="129">
        <f t="shared" si="18"/>
        <v>1</v>
      </c>
      <c r="T56" s="129" t="str">
        <f t="shared" si="14"/>
        <v/>
      </c>
      <c r="U56" s="136" t="str">
        <f t="shared" si="15"/>
        <v/>
      </c>
      <c r="W56" s="149" t="str">
        <f t="shared" si="19"/>
        <v/>
      </c>
      <c r="X56" s="142" t="str">
        <f t="shared" si="20"/>
        <v/>
      </c>
    </row>
    <row r="57" spans="3:24" x14ac:dyDescent="0.25">
      <c r="C57" s="1"/>
      <c r="D57" s="76">
        <v>24</v>
      </c>
      <c r="E57" s="24">
        <v>1980</v>
      </c>
      <c r="F57" s="24">
        <v>4000</v>
      </c>
      <c r="G57" s="24">
        <v>7</v>
      </c>
      <c r="H57" s="113">
        <f t="shared" si="7"/>
        <v>10</v>
      </c>
      <c r="I57" s="77">
        <f t="shared" si="8"/>
        <v>24</v>
      </c>
      <c r="J57" s="114">
        <f t="shared" si="9"/>
        <v>40000</v>
      </c>
      <c r="K57" s="82">
        <f t="shared" si="10"/>
        <v>96000</v>
      </c>
      <c r="L57" s="95">
        <f t="shared" si="16"/>
        <v>3</v>
      </c>
      <c r="M57" s="113">
        <f t="shared" si="11"/>
        <v>4.333333333333333</v>
      </c>
      <c r="N57" s="114">
        <f t="shared" si="12"/>
        <v>96000</v>
      </c>
      <c r="O57" s="82">
        <f t="shared" si="13"/>
        <v>140000</v>
      </c>
      <c r="R57" s="141">
        <f t="shared" si="17"/>
        <v>10.212765957446809</v>
      </c>
      <c r="S57" s="29">
        <f t="shared" si="18"/>
        <v>31</v>
      </c>
      <c r="T57" s="29">
        <f t="shared" si="14"/>
        <v>3.5</v>
      </c>
      <c r="U57" s="142">
        <f t="shared" si="15"/>
        <v>130000</v>
      </c>
      <c r="W57" s="149">
        <f t="shared" si="19"/>
        <v>0.83333333333333304</v>
      </c>
      <c r="X57" s="142">
        <f t="shared" si="20"/>
        <v>10000</v>
      </c>
    </row>
    <row r="58" spans="3:24" ht="15.75" thickBot="1" x14ac:dyDescent="0.3">
      <c r="C58" s="1"/>
      <c r="D58" s="78">
        <v>25</v>
      </c>
      <c r="E58" s="79">
        <v>2000</v>
      </c>
      <c r="F58" s="79">
        <v>4000</v>
      </c>
      <c r="G58" s="79">
        <v>7</v>
      </c>
      <c r="H58" s="80">
        <f t="shared" si="7"/>
        <v>10</v>
      </c>
      <c r="I58" s="81">
        <f t="shared" si="8"/>
        <v>24</v>
      </c>
      <c r="J58" s="106">
        <f t="shared" si="9"/>
        <v>40000</v>
      </c>
      <c r="K58" s="83">
        <f t="shared" si="10"/>
        <v>96000</v>
      </c>
      <c r="L58" s="97">
        <f t="shared" si="16"/>
        <v>3</v>
      </c>
      <c r="M58" s="80">
        <f t="shared" si="11"/>
        <v>4.333333333333333</v>
      </c>
      <c r="N58" s="106">
        <f t="shared" si="12"/>
        <v>96000</v>
      </c>
      <c r="O58" s="83">
        <f t="shared" si="13"/>
        <v>140000</v>
      </c>
      <c r="R58" s="145">
        <f t="shared" si="17"/>
        <v>12.631578947368421</v>
      </c>
      <c r="S58" s="146">
        <f t="shared" si="18"/>
        <v>33</v>
      </c>
      <c r="T58" s="146">
        <f t="shared" si="14"/>
        <v>4.5</v>
      </c>
      <c r="U58" s="147">
        <f t="shared" si="15"/>
        <v>140000</v>
      </c>
      <c r="W58" s="152">
        <f t="shared" si="19"/>
        <v>-0.16666666666666696</v>
      </c>
      <c r="X58" s="147">
        <f t="shared" si="20"/>
        <v>0</v>
      </c>
    </row>
    <row r="60" spans="3:24" x14ac:dyDescent="0.25">
      <c r="W60" s="148"/>
    </row>
  </sheetData>
  <sheetProtection algorithmName="SHA-512" hashValue="b0QZ8rP0aDw3ruK72Pb9V2mk8tcYQoYrti0vQEuMcKU2LHY1T8JOBIeM3gB286E5O9y2KBpxExfvYFSkHAefeg==" saltValue="JoXZEXhVXwHHW4m0R1KACg==" spinCount="100000" sheet="1" objects="1" scenarios="1" selectLockedCells="1" selectUnlockedCells="1"/>
  <mergeCells count="14">
    <mergeCell ref="Y3:AC3"/>
    <mergeCell ref="T32:U32"/>
    <mergeCell ref="R32:S32"/>
    <mergeCell ref="R30:U30"/>
    <mergeCell ref="W30:X30"/>
    <mergeCell ref="W32:W33"/>
    <mergeCell ref="X32:X33"/>
    <mergeCell ref="D32:I32"/>
    <mergeCell ref="J32:K32"/>
    <mergeCell ref="L32:O32"/>
    <mergeCell ref="L31:O31"/>
    <mergeCell ref="K1:Q1"/>
    <mergeCell ref="A1:G1"/>
    <mergeCell ref="G30:O30"/>
  </mergeCells>
  <conditionalFormatting sqref="W34:W58 W6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:AC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5:AC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6E008-C8B4-4B02-843F-8FDEEC0A9B6C}">
  <sheetPr codeName="Sheet3"/>
  <dimension ref="A1:E5"/>
  <sheetViews>
    <sheetView workbookViewId="0">
      <selection activeCell="E35" sqref="E35"/>
    </sheetView>
  </sheetViews>
  <sheetFormatPr defaultRowHeight="15" x14ac:dyDescent="0.25"/>
  <cols>
    <col min="5" max="5" width="13.140625" bestFit="1" customWidth="1"/>
  </cols>
  <sheetData>
    <row r="1" spans="1:5" x14ac:dyDescent="0.25">
      <c r="A1" s="37" t="s">
        <v>72</v>
      </c>
      <c r="B1" s="250" t="s">
        <v>78</v>
      </c>
      <c r="C1" s="250"/>
      <c r="D1" s="250"/>
      <c r="E1" s="250" t="s">
        <v>73</v>
      </c>
    </row>
    <row r="2" spans="1:5" x14ac:dyDescent="0.25">
      <c r="A2" s="37" t="s">
        <v>74</v>
      </c>
      <c r="B2" s="37" t="s">
        <v>75</v>
      </c>
      <c r="C2" s="37" t="s">
        <v>76</v>
      </c>
      <c r="D2" s="37" t="s">
        <v>77</v>
      </c>
      <c r="E2" s="250"/>
    </row>
    <row r="3" spans="1:5" x14ac:dyDescent="0.25">
      <c r="A3" s="37">
        <v>47</v>
      </c>
      <c r="B3" s="38">
        <f>+IF(OR(ISBLANK('HVAC sizing letter'!$C$23),ISBLANK('HVAC sizing letter'!$C$24)),0,IF('HVAC sizing letter'!$C$14="No",0,('HVAC sizing letter'!C23)))</f>
        <v>0</v>
      </c>
      <c r="C3" s="39">
        <f>+(B3-B4)/($A3-$A4)</f>
        <v>0</v>
      </c>
      <c r="D3" s="39">
        <f>+(B4-C3*$A4)</f>
        <v>0</v>
      </c>
      <c r="E3" s="38">
        <f>+('HVAC sizing letter'!$C$18*(1-((A3-(-9))/(50-(-9)))))</f>
        <v>0</v>
      </c>
    </row>
    <row r="4" spans="1:5" x14ac:dyDescent="0.25">
      <c r="A4" s="37">
        <v>17</v>
      </c>
      <c r="B4" s="38">
        <f>+IF(OR(ISBLANK('HVAC sizing letter'!$C$23),ISBLANK('HVAC sizing letter'!$C$24)),0,IF('HVAC sizing letter'!$C$14="No",0,('HVAC sizing letter'!C24)))</f>
        <v>0</v>
      </c>
      <c r="C4" s="39">
        <f>+(B4-B5)/($A4-$A5)</f>
        <v>0</v>
      </c>
      <c r="D4" s="39">
        <f>+(B5-C4*$A5)</f>
        <v>0</v>
      </c>
      <c r="E4" s="38">
        <f>+('HVAC sizing letter'!$C$18*(1-((A4-(-9))/(50-(-9)))))</f>
        <v>0</v>
      </c>
    </row>
    <row r="5" spans="1:5" x14ac:dyDescent="0.25">
      <c r="A5" s="54">
        <v>5</v>
      </c>
      <c r="B5" s="38">
        <f>+IF(OR(ISBLANK('HVAC sizing letter'!$C$23),ISBLANK('HVAC sizing letter'!$C$24),ISBLANK('HVAC sizing letter'!$C$25)),0,IF('HVAC sizing letter'!$C$14="No",0,('HVAC sizing letter'!C25)))</f>
        <v>0</v>
      </c>
      <c r="E5" s="38">
        <f>+('HVAC sizing letter'!$C$18*(1-((A5-(-9))/(50-(-9)))))</f>
        <v>0</v>
      </c>
    </row>
  </sheetData>
  <sheetProtection algorithmName="SHA-512" hashValue="ADmpLsNIS8sCgu2zAUfhCb0Wl54v9TYohZ/Q+fMm2NMikDe0G/Hq7jFD+rVbf53lQVB1LjmBNpVWQWQGmgT1CA==" saltValue="j+cdZtRQXDcKbCDTCJjdmw==" spinCount="100000" sheet="1" objects="1" scenarios="1" selectLockedCells="1" selectUnlockedCells="1"/>
  <mergeCells count="2">
    <mergeCell ref="B1:D1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FBF7-E189-4648-82B3-052D9393CC6A}">
  <sheetPr codeName="Sheet4"/>
  <dimension ref="A1:N64"/>
  <sheetViews>
    <sheetView topLeftCell="A4" workbookViewId="0">
      <selection activeCell="E35" sqref="E35"/>
    </sheetView>
  </sheetViews>
  <sheetFormatPr defaultRowHeight="15" x14ac:dyDescent="0.25"/>
  <cols>
    <col min="1" max="1" width="8" customWidth="1"/>
    <col min="2" max="2" width="9.42578125" customWidth="1"/>
    <col min="3" max="3" width="14.7109375" style="40" customWidth="1"/>
    <col min="4" max="4" width="15.42578125" customWidth="1"/>
    <col min="5" max="5" width="9.140625" style="29"/>
    <col min="6" max="8" width="11.42578125" customWidth="1"/>
    <col min="10" max="10" width="9.5703125" bestFit="1" customWidth="1"/>
    <col min="11" max="11" width="8.5703125" bestFit="1" customWidth="1"/>
    <col min="12" max="12" width="8.5703125" style="40" bestFit="1" customWidth="1"/>
    <col min="13" max="14" width="9.5703125" bestFit="1" customWidth="1"/>
  </cols>
  <sheetData>
    <row r="1" spans="1:14" ht="60" x14ac:dyDescent="0.25">
      <c r="A1" s="42" t="s">
        <v>79</v>
      </c>
      <c r="B1" s="42" t="s">
        <v>80</v>
      </c>
      <c r="C1" s="43" t="s">
        <v>81</v>
      </c>
      <c r="D1" s="44" t="s">
        <v>83</v>
      </c>
      <c r="E1" s="41" t="s">
        <v>87</v>
      </c>
      <c r="F1" s="44" t="s">
        <v>88</v>
      </c>
      <c r="G1" s="41" t="s">
        <v>89</v>
      </c>
      <c r="H1" s="44" t="s">
        <v>90</v>
      </c>
      <c r="I1" s="45" t="s">
        <v>93</v>
      </c>
      <c r="J1" s="45" t="s">
        <v>82</v>
      </c>
      <c r="K1" s="45" t="s">
        <v>86</v>
      </c>
      <c r="L1" s="43"/>
      <c r="M1" s="45" t="s">
        <v>91</v>
      </c>
      <c r="N1" s="45" t="s">
        <v>92</v>
      </c>
    </row>
    <row r="2" spans="1:14" x14ac:dyDescent="0.25">
      <c r="A2" s="37">
        <v>-20</v>
      </c>
      <c r="B2" s="37">
        <v>7</v>
      </c>
      <c r="C2" s="46">
        <f>IF(ISBLANK('HVAC sizing letter'!$C$25),IF($A2&lt;17,0,IF($A2&lt;47,$A2*'CALC-INPUTS'!$C$3+'CALC-INPUTS'!$D$3,IF($A2&lt;50,'CALC-INPUTS'!$B$3,0))),IF($A2&lt;5,0,IF($A2&lt;17,$A2*'CALC-INPUTS'!$C$4+'CALC-INPUTS'!$D$4,IF($A2&lt;47,$A2*'CALC-INPUTS'!$C$3+'CALC-INPUTS'!$D$3,IF($A2&lt;50,'CALC-INPUTS'!$B$3,0)))))</f>
        <v>0</v>
      </c>
      <c r="D2" s="46" t="e">
        <f>+(IF(A2&lt;=50,A!$G$45*(1-((A2-(-9))/(50-(-9)))),IF(AND(A2&gt;50,A2&lt;70),0,A!$G$46*(1-((88-A2)/(88-70))))))</f>
        <v>#VALUE!</v>
      </c>
      <c r="E2" s="46" t="e">
        <f>+IF(A2&lt;50,IF(D2&gt;C2,"YES","NO"),"NO")</f>
        <v>#VALUE!</v>
      </c>
      <c r="F2" s="46" t="e">
        <f>+IF(A2&lt;50,IF(E2=E3,"",A2),"")</f>
        <v>#VALUE!</v>
      </c>
      <c r="G2" s="46" t="e">
        <f>+IF(E2="YES",1,0)*B2</f>
        <v>#VALUE!</v>
      </c>
      <c r="H2" s="46" t="e">
        <f>+IF(G2&gt;0,(D2-C2),0)*(0.293/1000)</f>
        <v>#VALUE!</v>
      </c>
      <c r="I2" s="46" t="e">
        <f>IF(ISBLANK('HVAC sizing letter'!$C$25),IF($A2&lt;17,NA(),IF($A2&lt;47,$A2*'CALC-INPUTS'!$C$3+'CALC-INPUTS'!$D$3,IF($A2&lt;50,'CALC-INPUTS'!$B$3,NA()))),IF($A2&lt;5,NA(),IF($A2&lt;17,$A2*'CALC-INPUTS'!$C$4+'CALC-INPUTS'!$D$4,IF($A2&lt;47,$A2*'CALC-INPUTS'!$C$3+'CALC-INPUTS'!$D$3,IF($A2&lt;50,'CALC-INPUTS'!$B$3,NA())))))</f>
        <v>#N/A</v>
      </c>
      <c r="J2" s="46" t="e">
        <f>+IF(A2&lt;=50,A!$G$45*(1-((A2-(-9))/(50-(-9)))),NA())</f>
        <v>#VALUE!</v>
      </c>
      <c r="K2" s="46" t="e">
        <f>+(IF(A2&gt;=70,A!$G$46*(1-((88-A2)/(88-70))),NA()))</f>
        <v>#N/A</v>
      </c>
      <c r="L2" s="63" t="e">
        <f>++IF('HVAC sizing letter'!$C$14="No",NA(),IF(A2&gt;-8,IF(E2="YES",IF(ISBLANK('HVAC sizing letter'!$C$25),IF($A2&lt;17,0,IF($A2&lt;47,$A2*'CALC-INPUTS'!$C$3+'CALC-INPUTS'!$D$3,IF($A2&lt;50,'CALC-INPUTS'!$B$3,NA()))),IF($A2&lt;5,0,IF($A2&lt;17,$A2*'CALC-INPUTS'!$C$4+'CALC-INPUTS'!$D$4,IF($A2&lt;47,$A2*'CALC-INPUTS'!$C$3+'CALC-INPUTS'!$D$3,IF($A2&lt;50,'CALC-INPUTS'!$B$3,NA()))))),NA()),NA()))</f>
        <v>#N/A</v>
      </c>
      <c r="M2" s="63" t="e">
        <f>IF('HVAC sizing letter'!$C$14="No",NA(),IF(A2&gt;-8,IF(E2="YES",D2,NA()),NA()))</f>
        <v>#N/A</v>
      </c>
      <c r="N2" s="63" t="e">
        <f>+(M2-L2)</f>
        <v>#N/A</v>
      </c>
    </row>
    <row r="3" spans="1:14" x14ac:dyDescent="0.25">
      <c r="A3" s="37">
        <v>-18</v>
      </c>
      <c r="B3" s="37">
        <v>3</v>
      </c>
      <c r="C3" s="46">
        <f>IF(ISBLANK('HVAC sizing letter'!$C$25),IF($A3&lt;17,0,IF($A3&lt;47,$A3*'CALC-INPUTS'!$C$3+'CALC-INPUTS'!$D$3,IF($A3&lt;50,'CALC-INPUTS'!$B$3,0))),IF($A3&lt;5,0,IF($A3&lt;17,$A3*'CALC-INPUTS'!$C$4+'CALC-INPUTS'!$D$4,IF($A3&lt;47,$A3*'CALC-INPUTS'!$C$3+'CALC-INPUTS'!$D$3,IF($A3&lt;50,'CALC-INPUTS'!$B$3,0)))))</f>
        <v>0</v>
      </c>
      <c r="D3" s="46" t="e">
        <f>+(IF(A3&lt;=50,A!$G$45*(1-((A3-(-9))/(50-(-9)))),IF(AND(A3&gt;50,A3&lt;70),0,A!$G$46*(1-((88-A3)/(88-70))))))</f>
        <v>#VALUE!</v>
      </c>
      <c r="E3" s="46" t="e">
        <f t="shared" ref="E3:E61" si="0">+IF(A3&lt;50,IF(D3&gt;C3,"YES","NO"),"NO")</f>
        <v>#VALUE!</v>
      </c>
      <c r="F3" s="46" t="e">
        <f t="shared" ref="F3:F61" si="1">+IF(A3&lt;50,IF(E3=E4,"",A3),"")</f>
        <v>#VALUE!</v>
      </c>
      <c r="G3" s="46" t="e">
        <f t="shared" ref="G3:G61" si="2">+IF(E3="YES",1,0)*B3</f>
        <v>#VALUE!</v>
      </c>
      <c r="H3" s="46" t="e">
        <f t="shared" ref="H3:H61" si="3">+IF(G3&gt;0,(D3-C3),0)*(0.293/1000)</f>
        <v>#VALUE!</v>
      </c>
      <c r="I3" s="46" t="e">
        <f>IF(ISBLANK('HVAC sizing letter'!$C$25),IF($A3&lt;17,NA(),IF($A3&lt;47,$A3*'CALC-INPUTS'!$C$3+'CALC-INPUTS'!$D$3,IF($A3&lt;50,'CALC-INPUTS'!$B$3,NA()))),IF($A3&lt;5,NA(),IF($A3&lt;17,$A3*'CALC-INPUTS'!$C$4+'CALC-INPUTS'!$D$4,IF($A3&lt;47,$A3*'CALC-INPUTS'!$C$3+'CALC-INPUTS'!$D$3,IF($A3&lt;50,'CALC-INPUTS'!$B$3,NA())))))</f>
        <v>#N/A</v>
      </c>
      <c r="J3" s="46" t="e">
        <f>+IF(A3&lt;=50,A!$G$45*(1-((A3-(-9))/(50-(-9)))),NA())</f>
        <v>#VALUE!</v>
      </c>
      <c r="K3" s="46" t="e">
        <f>+(IF(A3&gt;=70,A!$G$46*(1-((88-A3)/(88-70))),NA()))</f>
        <v>#N/A</v>
      </c>
      <c r="L3" s="63" t="e">
        <f>++IF('HVAC sizing letter'!$C$14="No",NA(),IF(A3&gt;-8,IF(E3="YES",IF(ISBLANK('HVAC sizing letter'!$C$25),IF($A3&lt;17,0,IF($A3&lt;47,$A3*'CALC-INPUTS'!$C$3+'CALC-INPUTS'!$D$3,IF($A3&lt;50,'CALC-INPUTS'!$B$3,NA()))),IF($A3&lt;5,0,IF($A3&lt;17,$A3*'CALC-INPUTS'!$C$4+'CALC-INPUTS'!$D$4,IF($A3&lt;47,$A3*'CALC-INPUTS'!$C$3+'CALC-INPUTS'!$D$3,IF($A3&lt;50,'CALC-INPUTS'!$B$3,NA()))))),NA()),NA()))</f>
        <v>#N/A</v>
      </c>
      <c r="M3" s="63" t="e">
        <f>IF('HVAC sizing letter'!$C$14="No",NA(),IF(A3&gt;-8,IF(E3="YES",D3,NA()),NA()))</f>
        <v>#N/A</v>
      </c>
      <c r="N3" s="63" t="e">
        <f t="shared" ref="N3:N61" si="4">+(M3-L3)</f>
        <v>#N/A</v>
      </c>
    </row>
    <row r="4" spans="1:14" x14ac:dyDescent="0.25">
      <c r="A4" s="37">
        <v>-16</v>
      </c>
      <c r="B4" s="37">
        <v>2</v>
      </c>
      <c r="C4" s="46">
        <f>IF(ISBLANK('HVAC sizing letter'!$C$25),IF($A4&lt;17,0,IF($A4&lt;47,$A4*'CALC-INPUTS'!$C$3+'CALC-INPUTS'!$D$3,IF($A4&lt;50,'CALC-INPUTS'!$B$3,0))),IF($A4&lt;5,0,IF($A4&lt;17,$A4*'CALC-INPUTS'!$C$4+'CALC-INPUTS'!$D$4,IF($A4&lt;47,$A4*'CALC-INPUTS'!$C$3+'CALC-INPUTS'!$D$3,IF($A4&lt;50,'CALC-INPUTS'!$B$3,0)))))</f>
        <v>0</v>
      </c>
      <c r="D4" s="46" t="e">
        <f>+(IF(A4&lt;=50,A!$G$45*(1-((A4-(-9))/(50-(-9)))),IF(AND(A4&gt;50,A4&lt;70),0,A!$G$46*(1-((88-A4)/(88-70))))))</f>
        <v>#VALUE!</v>
      </c>
      <c r="E4" s="46" t="e">
        <f t="shared" si="0"/>
        <v>#VALUE!</v>
      </c>
      <c r="F4" s="46" t="e">
        <f t="shared" si="1"/>
        <v>#VALUE!</v>
      </c>
      <c r="G4" s="46" t="e">
        <f t="shared" si="2"/>
        <v>#VALUE!</v>
      </c>
      <c r="H4" s="46" t="e">
        <f t="shared" si="3"/>
        <v>#VALUE!</v>
      </c>
      <c r="I4" s="46" t="e">
        <f>IF(ISBLANK('HVAC sizing letter'!$C$25),IF($A4&lt;17,NA(),IF($A4&lt;47,$A4*'CALC-INPUTS'!$C$3+'CALC-INPUTS'!$D$3,IF($A4&lt;50,'CALC-INPUTS'!$B$3,NA()))),IF($A4&lt;5,NA(),IF($A4&lt;17,$A4*'CALC-INPUTS'!$C$4+'CALC-INPUTS'!$D$4,IF($A4&lt;47,$A4*'CALC-INPUTS'!$C$3+'CALC-INPUTS'!$D$3,IF($A4&lt;50,'CALC-INPUTS'!$B$3,NA())))))</f>
        <v>#N/A</v>
      </c>
      <c r="J4" s="46" t="e">
        <f>+IF(A4&lt;=50,A!$G$45*(1-((A4-(-9))/(50-(-9)))),NA())</f>
        <v>#VALUE!</v>
      </c>
      <c r="K4" s="46" t="e">
        <f>+(IF(A4&gt;=70,A!$G$46*(1-((88-A4)/(88-70))),NA()))</f>
        <v>#N/A</v>
      </c>
      <c r="L4" s="63" t="e">
        <f>++IF('HVAC sizing letter'!$C$14="No",NA(),IF(A4&gt;-8,IF(E4="YES",IF(ISBLANK('HVAC sizing letter'!$C$25),IF($A4&lt;17,0,IF($A4&lt;47,$A4*'CALC-INPUTS'!$C$3+'CALC-INPUTS'!$D$3,IF($A4&lt;50,'CALC-INPUTS'!$B$3,NA()))),IF($A4&lt;5,0,IF($A4&lt;17,$A4*'CALC-INPUTS'!$C$4+'CALC-INPUTS'!$D$4,IF($A4&lt;47,$A4*'CALC-INPUTS'!$C$3+'CALC-INPUTS'!$D$3,IF($A4&lt;50,'CALC-INPUTS'!$B$3,NA()))))),NA()),NA()))</f>
        <v>#N/A</v>
      </c>
      <c r="M4" s="63" t="e">
        <f>IF('HVAC sizing letter'!$C$14="No",NA(),IF(A4&gt;-8,IF(E4="YES",D4,NA()),NA()))</f>
        <v>#N/A</v>
      </c>
      <c r="N4" s="63" t="e">
        <f t="shared" si="4"/>
        <v>#N/A</v>
      </c>
    </row>
    <row r="5" spans="1:14" x14ac:dyDescent="0.25">
      <c r="A5" s="37">
        <v>-14</v>
      </c>
      <c r="B5" s="37">
        <v>5</v>
      </c>
      <c r="C5" s="46">
        <f>IF(ISBLANK('HVAC sizing letter'!$C$25),IF($A5&lt;17,0,IF($A5&lt;47,$A5*'CALC-INPUTS'!$C$3+'CALC-INPUTS'!$D$3,IF($A5&lt;50,'CALC-INPUTS'!$B$3,0))),IF($A5&lt;5,0,IF($A5&lt;17,$A5*'CALC-INPUTS'!$C$4+'CALC-INPUTS'!$D$4,IF($A5&lt;47,$A5*'CALC-INPUTS'!$C$3+'CALC-INPUTS'!$D$3,IF($A5&lt;50,'CALC-INPUTS'!$B$3,0)))))</f>
        <v>0</v>
      </c>
      <c r="D5" s="46" t="e">
        <f>+(IF(A5&lt;=50,A!$G$45*(1-((A5-(-9))/(50-(-9)))),IF(AND(A5&gt;50,A5&lt;70),0,A!$G$46*(1-((88-A5)/(88-70))))))</f>
        <v>#VALUE!</v>
      </c>
      <c r="E5" s="46" t="e">
        <f t="shared" si="0"/>
        <v>#VALUE!</v>
      </c>
      <c r="F5" s="46" t="e">
        <f t="shared" si="1"/>
        <v>#VALUE!</v>
      </c>
      <c r="G5" s="46" t="e">
        <f t="shared" si="2"/>
        <v>#VALUE!</v>
      </c>
      <c r="H5" s="46" t="e">
        <f t="shared" si="3"/>
        <v>#VALUE!</v>
      </c>
      <c r="I5" s="46" t="e">
        <f>IF(ISBLANK('HVAC sizing letter'!$C$25),IF($A5&lt;17,NA(),IF($A5&lt;47,$A5*'CALC-INPUTS'!$C$3+'CALC-INPUTS'!$D$3,IF($A5&lt;50,'CALC-INPUTS'!$B$3,NA()))),IF($A5&lt;5,NA(),IF($A5&lt;17,$A5*'CALC-INPUTS'!$C$4+'CALC-INPUTS'!$D$4,IF($A5&lt;47,$A5*'CALC-INPUTS'!$C$3+'CALC-INPUTS'!$D$3,IF($A5&lt;50,'CALC-INPUTS'!$B$3,NA())))))</f>
        <v>#N/A</v>
      </c>
      <c r="J5" s="46" t="e">
        <f>+IF(A5&lt;=50,A!$G$45*(1-((A5-(-9))/(50-(-9)))),NA())</f>
        <v>#VALUE!</v>
      </c>
      <c r="K5" s="46" t="e">
        <f>+(IF(A5&gt;=70,A!$G$46*(1-((88-A5)/(88-70))),NA()))</f>
        <v>#N/A</v>
      </c>
      <c r="L5" s="63" t="e">
        <f>++IF('HVAC sizing letter'!$C$14="No",NA(),IF(A5&gt;-8,IF(E5="YES",IF(ISBLANK('HVAC sizing letter'!$C$25),IF($A5&lt;17,0,IF($A5&lt;47,$A5*'CALC-INPUTS'!$C$3+'CALC-INPUTS'!$D$3,IF($A5&lt;50,'CALC-INPUTS'!$B$3,NA()))),IF($A5&lt;5,0,IF($A5&lt;17,$A5*'CALC-INPUTS'!$C$4+'CALC-INPUTS'!$D$4,IF($A5&lt;47,$A5*'CALC-INPUTS'!$C$3+'CALC-INPUTS'!$D$3,IF($A5&lt;50,'CALC-INPUTS'!$B$3,NA()))))),NA()),NA()))</f>
        <v>#N/A</v>
      </c>
      <c r="M5" s="63" t="e">
        <f>IF('HVAC sizing letter'!$C$14="No",NA(),IF(A5&gt;-8,IF(E5="YES",D5,NA()),NA()))</f>
        <v>#N/A</v>
      </c>
      <c r="N5" s="63" t="e">
        <f t="shared" si="4"/>
        <v>#N/A</v>
      </c>
    </row>
    <row r="6" spans="1:14" x14ac:dyDescent="0.25">
      <c r="A6" s="37">
        <v>-12</v>
      </c>
      <c r="B6" s="37">
        <v>3</v>
      </c>
      <c r="C6" s="46">
        <f>IF(ISBLANK('HVAC sizing letter'!$C$25),IF($A6&lt;17,0,IF($A6&lt;47,$A6*'CALC-INPUTS'!$C$3+'CALC-INPUTS'!$D$3,IF($A6&lt;50,'CALC-INPUTS'!$B$3,0))),IF($A6&lt;5,0,IF($A6&lt;17,$A6*'CALC-INPUTS'!$C$4+'CALC-INPUTS'!$D$4,IF($A6&lt;47,$A6*'CALC-INPUTS'!$C$3+'CALC-INPUTS'!$D$3,IF($A6&lt;50,'CALC-INPUTS'!$B$3,0)))))</f>
        <v>0</v>
      </c>
      <c r="D6" s="46" t="e">
        <f>+(IF(A6&lt;=50,A!$G$45*(1-((A6-(-9))/(50-(-9)))),IF(AND(A6&gt;50,A6&lt;70),0,A!$G$46*(1-((88-A6)/(88-70))))))</f>
        <v>#VALUE!</v>
      </c>
      <c r="E6" s="46" t="e">
        <f t="shared" si="0"/>
        <v>#VALUE!</v>
      </c>
      <c r="F6" s="46" t="e">
        <f t="shared" si="1"/>
        <v>#VALUE!</v>
      </c>
      <c r="G6" s="46" t="e">
        <f t="shared" si="2"/>
        <v>#VALUE!</v>
      </c>
      <c r="H6" s="46" t="e">
        <f t="shared" si="3"/>
        <v>#VALUE!</v>
      </c>
      <c r="I6" s="46" t="e">
        <f>IF(ISBLANK('HVAC sizing letter'!$C$25),IF($A6&lt;17,NA(),IF($A6&lt;47,$A6*'CALC-INPUTS'!$C$3+'CALC-INPUTS'!$D$3,IF($A6&lt;50,'CALC-INPUTS'!$B$3,NA()))),IF($A6&lt;5,NA(),IF($A6&lt;17,$A6*'CALC-INPUTS'!$C$4+'CALC-INPUTS'!$D$4,IF($A6&lt;47,$A6*'CALC-INPUTS'!$C$3+'CALC-INPUTS'!$D$3,IF($A6&lt;50,'CALC-INPUTS'!$B$3,NA())))))</f>
        <v>#N/A</v>
      </c>
      <c r="J6" s="46" t="e">
        <f>+IF(A6&lt;=50,A!$G$45*(1-((A6-(-9))/(50-(-9)))),NA())</f>
        <v>#VALUE!</v>
      </c>
      <c r="K6" s="46" t="e">
        <f>+(IF(A6&gt;=70,A!$G$46*(1-((88-A6)/(88-70))),NA()))</f>
        <v>#N/A</v>
      </c>
      <c r="L6" s="63" t="e">
        <f>++IF('HVAC sizing letter'!$C$14="No",NA(),IF(A6&gt;-8,IF(E6="YES",IF(ISBLANK('HVAC sizing letter'!$C$25),IF($A6&lt;17,0,IF($A6&lt;47,$A6*'CALC-INPUTS'!$C$3+'CALC-INPUTS'!$D$3,IF($A6&lt;50,'CALC-INPUTS'!$B$3,NA()))),IF($A6&lt;5,0,IF($A6&lt;17,$A6*'CALC-INPUTS'!$C$4+'CALC-INPUTS'!$D$4,IF($A6&lt;47,$A6*'CALC-INPUTS'!$C$3+'CALC-INPUTS'!$D$3,IF($A6&lt;50,'CALC-INPUTS'!$B$3,NA()))))),NA()),NA()))</f>
        <v>#N/A</v>
      </c>
      <c r="M6" s="63" t="e">
        <f>IF('HVAC sizing letter'!$C$14="No",NA(),IF(A6&gt;-8,IF(E6="YES",D6,NA()),NA()))</f>
        <v>#N/A</v>
      </c>
      <c r="N6" s="63" t="e">
        <f t="shared" si="4"/>
        <v>#N/A</v>
      </c>
    </row>
    <row r="7" spans="1:14" x14ac:dyDescent="0.25">
      <c r="A7" s="37">
        <v>-10</v>
      </c>
      <c r="B7" s="37">
        <v>12</v>
      </c>
      <c r="C7" s="46">
        <f>IF(ISBLANK('HVAC sizing letter'!$C$25),IF($A7&lt;17,0,IF($A7&lt;47,$A7*'CALC-INPUTS'!$C$3+'CALC-INPUTS'!$D$3,IF($A7&lt;50,'CALC-INPUTS'!$B$3,0))),IF($A7&lt;5,0,IF($A7&lt;17,$A7*'CALC-INPUTS'!$C$4+'CALC-INPUTS'!$D$4,IF($A7&lt;47,$A7*'CALC-INPUTS'!$C$3+'CALC-INPUTS'!$D$3,IF($A7&lt;50,'CALC-INPUTS'!$B$3,0)))))</f>
        <v>0</v>
      </c>
      <c r="D7" s="46" t="e">
        <f>+(IF(A7&lt;=50,A!$G$45*(1-((A7-(-9))/(50-(-9)))),IF(AND(A7&gt;50,A7&lt;70),0,A!$G$46*(1-((88-A7)/(88-70))))))</f>
        <v>#VALUE!</v>
      </c>
      <c r="E7" s="46" t="e">
        <f t="shared" si="0"/>
        <v>#VALUE!</v>
      </c>
      <c r="F7" s="46" t="e">
        <f t="shared" si="1"/>
        <v>#VALUE!</v>
      </c>
      <c r="G7" s="46" t="e">
        <f t="shared" si="2"/>
        <v>#VALUE!</v>
      </c>
      <c r="H7" s="46" t="e">
        <f t="shared" si="3"/>
        <v>#VALUE!</v>
      </c>
      <c r="I7" s="46" t="e">
        <f>IF(ISBLANK('HVAC sizing letter'!$C$25),IF($A7&lt;17,NA(),IF($A7&lt;47,$A7*'CALC-INPUTS'!$C$3+'CALC-INPUTS'!$D$3,IF($A7&lt;50,'CALC-INPUTS'!$B$3,NA()))),IF($A7&lt;5,NA(),IF($A7&lt;17,$A7*'CALC-INPUTS'!$C$4+'CALC-INPUTS'!$D$4,IF($A7&lt;47,$A7*'CALC-INPUTS'!$C$3+'CALC-INPUTS'!$D$3,IF($A7&lt;50,'CALC-INPUTS'!$B$3,NA())))))</f>
        <v>#N/A</v>
      </c>
      <c r="J7" s="46" t="e">
        <f>+IF(A7&lt;=50,A!$G$45*(1-((A7-(-9))/(50-(-9)))),NA())</f>
        <v>#VALUE!</v>
      </c>
      <c r="K7" s="46" t="e">
        <f>+(IF(A7&gt;=70,A!$G$46*(1-((88-A7)/(88-70))),NA()))</f>
        <v>#N/A</v>
      </c>
      <c r="L7" s="63" t="e">
        <f>++IF('HVAC sizing letter'!$C$14="No",NA(),IF(A7&gt;-8,IF(E7="YES",IF(ISBLANK('HVAC sizing letter'!$C$25),IF($A7&lt;17,0,IF($A7&lt;47,$A7*'CALC-INPUTS'!$C$3+'CALC-INPUTS'!$D$3,IF($A7&lt;50,'CALC-INPUTS'!$B$3,NA()))),IF($A7&lt;5,0,IF($A7&lt;17,$A7*'CALC-INPUTS'!$C$4+'CALC-INPUTS'!$D$4,IF($A7&lt;47,$A7*'CALC-INPUTS'!$C$3+'CALC-INPUTS'!$D$3,IF($A7&lt;50,'CALC-INPUTS'!$B$3,NA()))))),NA()),NA()))</f>
        <v>#N/A</v>
      </c>
      <c r="M7" s="63" t="e">
        <f>IF('HVAC sizing letter'!$C$14="No",NA(),IF(A7&gt;-8,IF(E7="YES",D7,NA()),NA()))</f>
        <v>#N/A</v>
      </c>
      <c r="N7" s="63" t="e">
        <f t="shared" si="4"/>
        <v>#N/A</v>
      </c>
    </row>
    <row r="8" spans="1:14" x14ac:dyDescent="0.25">
      <c r="A8" s="37">
        <v>-8</v>
      </c>
      <c r="B8" s="37">
        <v>13</v>
      </c>
      <c r="C8" s="46">
        <f>IF(ISBLANK('HVAC sizing letter'!$C$25),IF($A8&lt;17,0,IF($A8&lt;47,$A8*'CALC-INPUTS'!$C$3+'CALC-INPUTS'!$D$3,IF($A8&lt;50,'CALC-INPUTS'!$B$3,0))),IF($A8&lt;5,0,IF($A8&lt;17,$A8*'CALC-INPUTS'!$C$4+'CALC-INPUTS'!$D$4,IF($A8&lt;47,$A8*'CALC-INPUTS'!$C$3+'CALC-INPUTS'!$D$3,IF($A8&lt;50,'CALC-INPUTS'!$B$3,0)))))</f>
        <v>0</v>
      </c>
      <c r="D8" s="46" t="e">
        <f>+(IF(A8&lt;=50,A!$G$45*(1-((A8-(-9))/(50-(-9)))),IF(AND(A8&gt;50,A8&lt;70),0,A!$G$46*(1-((88-A8)/(88-70))))))</f>
        <v>#VALUE!</v>
      </c>
      <c r="E8" s="46" t="e">
        <f t="shared" si="0"/>
        <v>#VALUE!</v>
      </c>
      <c r="F8" s="46" t="e">
        <f t="shared" si="1"/>
        <v>#VALUE!</v>
      </c>
      <c r="G8" s="46" t="e">
        <f t="shared" si="2"/>
        <v>#VALUE!</v>
      </c>
      <c r="H8" s="46" t="e">
        <f t="shared" si="3"/>
        <v>#VALUE!</v>
      </c>
      <c r="I8" s="46" t="e">
        <f>IF(ISBLANK('HVAC sizing letter'!$C$25),IF($A8&lt;17,NA(),IF($A8&lt;47,$A8*'CALC-INPUTS'!$C$3+'CALC-INPUTS'!$D$3,IF($A8&lt;50,'CALC-INPUTS'!$B$3,NA()))),IF($A8&lt;5,NA(),IF($A8&lt;17,$A8*'CALC-INPUTS'!$C$4+'CALC-INPUTS'!$D$4,IF($A8&lt;47,$A8*'CALC-INPUTS'!$C$3+'CALC-INPUTS'!$D$3,IF($A8&lt;50,'CALC-INPUTS'!$B$3,NA())))))</f>
        <v>#N/A</v>
      </c>
      <c r="J8" s="46" t="e">
        <f>+IF(A8&lt;=50,A!$G$45*(1-((A8-(-9))/(50-(-9)))),NA())</f>
        <v>#VALUE!</v>
      </c>
      <c r="K8" s="46" t="e">
        <f>+(IF(A8&gt;=70,A!$G$46*(1-((88-A8)/(88-70))),NA()))</f>
        <v>#N/A</v>
      </c>
      <c r="L8" s="63" t="e">
        <f>++IF('HVAC sizing letter'!$C$14="No",NA(),IF(A8&gt;-8,IF(E8="YES",IF(ISBLANK('HVAC sizing letter'!$C$25),IF($A8&lt;17,0,IF($A8&lt;47,$A8*'CALC-INPUTS'!$C$3+'CALC-INPUTS'!$D$3,IF($A8&lt;50,'CALC-INPUTS'!$B$3,NA()))),IF($A8&lt;5,0,IF($A8&lt;17,$A8*'CALC-INPUTS'!$C$4+'CALC-INPUTS'!$D$4,IF($A8&lt;47,$A8*'CALC-INPUTS'!$C$3+'CALC-INPUTS'!$D$3,IF($A8&lt;50,'CALC-INPUTS'!$B$3,NA()))))),NA()),NA()))</f>
        <v>#N/A</v>
      </c>
      <c r="M8" s="63" t="e">
        <f>IF('HVAC sizing letter'!$C$14="No",NA(),IF(A8&gt;-8,IF(E8="YES",D8,NA()),NA()))</f>
        <v>#N/A</v>
      </c>
      <c r="N8" s="63" t="e">
        <f t="shared" si="4"/>
        <v>#N/A</v>
      </c>
    </row>
    <row r="9" spans="1:14" x14ac:dyDescent="0.25">
      <c r="A9" s="37">
        <v>-6</v>
      </c>
      <c r="B9" s="37">
        <v>23</v>
      </c>
      <c r="C9" s="46">
        <f>IF(ISBLANK('HVAC sizing letter'!$C$25),IF($A9&lt;17,0,IF($A9&lt;47,$A9*'CALC-INPUTS'!$C$3+'CALC-INPUTS'!$D$3,IF($A9&lt;50,'CALC-INPUTS'!$B$3,0))),IF($A9&lt;5,0,IF($A9&lt;17,$A9*'CALC-INPUTS'!$C$4+'CALC-INPUTS'!$D$4,IF($A9&lt;47,$A9*'CALC-INPUTS'!$C$3+'CALC-INPUTS'!$D$3,IF($A9&lt;50,'CALC-INPUTS'!$B$3,0)))))</f>
        <v>0</v>
      </c>
      <c r="D9" s="46" t="e">
        <f>+(IF(A9&lt;=50,A!$G$45*(1-((A9-(-9))/(50-(-9)))),IF(AND(A9&gt;50,A9&lt;70),0,A!$G$46*(1-((88-A9)/(88-70))))))</f>
        <v>#VALUE!</v>
      </c>
      <c r="E9" s="46" t="e">
        <f t="shared" si="0"/>
        <v>#VALUE!</v>
      </c>
      <c r="F9" s="46" t="e">
        <f t="shared" si="1"/>
        <v>#VALUE!</v>
      </c>
      <c r="G9" s="46" t="e">
        <f t="shared" si="2"/>
        <v>#VALUE!</v>
      </c>
      <c r="H9" s="46" t="e">
        <f t="shared" si="3"/>
        <v>#VALUE!</v>
      </c>
      <c r="I9" s="46" t="e">
        <f>IF(ISBLANK('HVAC sizing letter'!$C$25),IF($A9&lt;17,NA(),IF($A9&lt;47,$A9*'CALC-INPUTS'!$C$3+'CALC-INPUTS'!$D$3,IF($A9&lt;50,'CALC-INPUTS'!$B$3,NA()))),IF($A9&lt;5,NA(),IF($A9&lt;17,$A9*'CALC-INPUTS'!$C$4+'CALC-INPUTS'!$D$4,IF($A9&lt;47,$A9*'CALC-INPUTS'!$C$3+'CALC-INPUTS'!$D$3,IF($A9&lt;50,'CALC-INPUTS'!$B$3,NA())))))</f>
        <v>#N/A</v>
      </c>
      <c r="J9" s="46" t="e">
        <f>+IF(A9&lt;=50,A!$G$45*(1-((A9-(-9))/(50-(-9)))),NA())</f>
        <v>#VALUE!</v>
      </c>
      <c r="K9" s="46" t="e">
        <f>+(IF(A9&gt;=70,A!$G$46*(1-((88-A9)/(88-70))),NA()))</f>
        <v>#N/A</v>
      </c>
      <c r="L9" s="63" t="e">
        <f>++IF('HVAC sizing letter'!$C$14="No",NA(),IF(A9&gt;-8,IF(E9="YES",IF(ISBLANK('HVAC sizing letter'!$C$25),IF($A9&lt;17,0,IF($A9&lt;47,$A9*'CALC-INPUTS'!$C$3+'CALC-INPUTS'!$D$3,IF($A9&lt;50,'CALC-INPUTS'!$B$3,NA()))),IF($A9&lt;5,0,IF($A9&lt;17,$A9*'CALC-INPUTS'!$C$4+'CALC-INPUTS'!$D$4,IF($A9&lt;47,$A9*'CALC-INPUTS'!$C$3+'CALC-INPUTS'!$D$3,IF($A9&lt;50,'CALC-INPUTS'!$B$3,NA()))))),NA()),NA()))</f>
        <v>#VALUE!</v>
      </c>
      <c r="M9" s="63" t="e">
        <f>IF('HVAC sizing letter'!$C$14="No",NA(),IF(A9&gt;-8,IF(E9="YES",D9,NA()),NA()))</f>
        <v>#VALUE!</v>
      </c>
      <c r="N9" s="63" t="e">
        <f t="shared" si="4"/>
        <v>#VALUE!</v>
      </c>
    </row>
    <row r="10" spans="1:14" x14ac:dyDescent="0.25">
      <c r="A10" s="37">
        <v>-4</v>
      </c>
      <c r="B10" s="37">
        <v>27</v>
      </c>
      <c r="C10" s="46">
        <f>IF(ISBLANK('HVAC sizing letter'!$C$25),IF($A10&lt;17,0,IF($A10&lt;47,$A10*'CALC-INPUTS'!$C$3+'CALC-INPUTS'!$D$3,IF($A10&lt;50,'CALC-INPUTS'!$B$3,0))),IF($A10&lt;5,0,IF($A10&lt;17,$A10*'CALC-INPUTS'!$C$4+'CALC-INPUTS'!$D$4,IF($A10&lt;47,$A10*'CALC-INPUTS'!$C$3+'CALC-INPUTS'!$D$3,IF($A10&lt;50,'CALC-INPUTS'!$B$3,0)))))</f>
        <v>0</v>
      </c>
      <c r="D10" s="46" t="e">
        <f>+(IF(A10&lt;=50,A!$G$45*(1-((A10-(-9))/(50-(-9)))),IF(AND(A10&gt;50,A10&lt;70),0,A!$G$46*(1-((88-A10)/(88-70))))))</f>
        <v>#VALUE!</v>
      </c>
      <c r="E10" s="46" t="e">
        <f t="shared" si="0"/>
        <v>#VALUE!</v>
      </c>
      <c r="F10" s="46" t="e">
        <f t="shared" si="1"/>
        <v>#VALUE!</v>
      </c>
      <c r="G10" s="46" t="e">
        <f t="shared" si="2"/>
        <v>#VALUE!</v>
      </c>
      <c r="H10" s="46" t="e">
        <f t="shared" si="3"/>
        <v>#VALUE!</v>
      </c>
      <c r="I10" s="46" t="e">
        <f>IF(ISBLANK('HVAC sizing letter'!$C$25),IF($A10&lt;17,NA(),IF($A10&lt;47,$A10*'CALC-INPUTS'!$C$3+'CALC-INPUTS'!$D$3,IF($A10&lt;50,'CALC-INPUTS'!$B$3,NA()))),IF($A10&lt;5,NA(),IF($A10&lt;17,$A10*'CALC-INPUTS'!$C$4+'CALC-INPUTS'!$D$4,IF($A10&lt;47,$A10*'CALC-INPUTS'!$C$3+'CALC-INPUTS'!$D$3,IF($A10&lt;50,'CALC-INPUTS'!$B$3,NA())))))</f>
        <v>#N/A</v>
      </c>
      <c r="J10" s="46" t="e">
        <f>+IF(A10&lt;=50,A!$G$45*(1-((A10-(-9))/(50-(-9)))),NA())</f>
        <v>#VALUE!</v>
      </c>
      <c r="K10" s="46" t="e">
        <f>+(IF(A10&gt;=70,A!$G$46*(1-((88-A10)/(88-70))),NA()))</f>
        <v>#N/A</v>
      </c>
      <c r="L10" s="63" t="e">
        <f>++IF('HVAC sizing letter'!$C$14="No",NA(),IF(A10&gt;-8,IF(E10="YES",IF(ISBLANK('HVAC sizing letter'!$C$25),IF($A10&lt;17,0,IF($A10&lt;47,$A10*'CALC-INPUTS'!$C$3+'CALC-INPUTS'!$D$3,IF($A10&lt;50,'CALC-INPUTS'!$B$3,NA()))),IF($A10&lt;5,0,IF($A10&lt;17,$A10*'CALC-INPUTS'!$C$4+'CALC-INPUTS'!$D$4,IF($A10&lt;47,$A10*'CALC-INPUTS'!$C$3+'CALC-INPUTS'!$D$3,IF($A10&lt;50,'CALC-INPUTS'!$B$3,NA()))))),NA()),NA()))</f>
        <v>#VALUE!</v>
      </c>
      <c r="M10" s="63" t="e">
        <f>IF('HVAC sizing letter'!$C$14="No",NA(),IF(A10&gt;-8,IF(E10="YES",D10,NA()),NA()))</f>
        <v>#VALUE!</v>
      </c>
      <c r="N10" s="63" t="e">
        <f t="shared" si="4"/>
        <v>#VALUE!</v>
      </c>
    </row>
    <row r="11" spans="1:14" x14ac:dyDescent="0.25">
      <c r="A11" s="37">
        <v>-2</v>
      </c>
      <c r="B11" s="37">
        <v>73</v>
      </c>
      <c r="C11" s="46">
        <f>IF(ISBLANK('HVAC sizing letter'!$C$25),IF($A11&lt;17,0,IF($A11&lt;47,$A11*'CALC-INPUTS'!$C$3+'CALC-INPUTS'!$D$3,IF($A11&lt;50,'CALC-INPUTS'!$B$3,0))),IF($A11&lt;5,0,IF($A11&lt;17,$A11*'CALC-INPUTS'!$C$4+'CALC-INPUTS'!$D$4,IF($A11&lt;47,$A11*'CALC-INPUTS'!$C$3+'CALC-INPUTS'!$D$3,IF($A11&lt;50,'CALC-INPUTS'!$B$3,0)))))</f>
        <v>0</v>
      </c>
      <c r="D11" s="46" t="e">
        <f>+(IF(A11&lt;=50,A!$G$45*(1-((A11-(-9))/(50-(-9)))),IF(AND(A11&gt;50,A11&lt;70),0,A!$G$46*(1-((88-A11)/(88-70))))))</f>
        <v>#VALUE!</v>
      </c>
      <c r="E11" s="46" t="e">
        <f t="shared" si="0"/>
        <v>#VALUE!</v>
      </c>
      <c r="F11" s="46" t="e">
        <f t="shared" si="1"/>
        <v>#VALUE!</v>
      </c>
      <c r="G11" s="46" t="e">
        <f t="shared" si="2"/>
        <v>#VALUE!</v>
      </c>
      <c r="H11" s="46" t="e">
        <f t="shared" si="3"/>
        <v>#VALUE!</v>
      </c>
      <c r="I11" s="46" t="e">
        <f>IF(ISBLANK('HVAC sizing letter'!$C$25),IF($A11&lt;17,NA(),IF($A11&lt;47,$A11*'CALC-INPUTS'!$C$3+'CALC-INPUTS'!$D$3,IF($A11&lt;50,'CALC-INPUTS'!$B$3,NA()))),IF($A11&lt;5,NA(),IF($A11&lt;17,$A11*'CALC-INPUTS'!$C$4+'CALC-INPUTS'!$D$4,IF($A11&lt;47,$A11*'CALC-INPUTS'!$C$3+'CALC-INPUTS'!$D$3,IF($A11&lt;50,'CALC-INPUTS'!$B$3,NA())))))</f>
        <v>#N/A</v>
      </c>
      <c r="J11" s="46" t="e">
        <f>+IF(A11&lt;=50,A!$G$45*(1-((A11-(-9))/(50-(-9)))),NA())</f>
        <v>#VALUE!</v>
      </c>
      <c r="K11" s="46" t="e">
        <f>+(IF(A11&gt;=70,A!$G$46*(1-((88-A11)/(88-70))),NA()))</f>
        <v>#N/A</v>
      </c>
      <c r="L11" s="63" t="e">
        <f>++IF('HVAC sizing letter'!$C$14="No",NA(),IF(A11&gt;-8,IF(E11="YES",IF(ISBLANK('HVAC sizing letter'!$C$25),IF($A11&lt;17,0,IF($A11&lt;47,$A11*'CALC-INPUTS'!$C$3+'CALC-INPUTS'!$D$3,IF($A11&lt;50,'CALC-INPUTS'!$B$3,NA()))),IF($A11&lt;5,0,IF($A11&lt;17,$A11*'CALC-INPUTS'!$C$4+'CALC-INPUTS'!$D$4,IF($A11&lt;47,$A11*'CALC-INPUTS'!$C$3+'CALC-INPUTS'!$D$3,IF($A11&lt;50,'CALC-INPUTS'!$B$3,NA()))))),NA()),NA()))</f>
        <v>#VALUE!</v>
      </c>
      <c r="M11" s="63" t="e">
        <f>IF('HVAC sizing letter'!$C$14="No",NA(),IF(A11&gt;-8,IF(E11="YES",D11,NA()),NA()))</f>
        <v>#VALUE!</v>
      </c>
      <c r="N11" s="63" t="e">
        <f t="shared" si="4"/>
        <v>#VALUE!</v>
      </c>
    </row>
    <row r="12" spans="1:14" x14ac:dyDescent="0.25">
      <c r="A12" s="37">
        <v>0</v>
      </c>
      <c r="B12" s="37">
        <v>54</v>
      </c>
      <c r="C12" s="46">
        <f>IF(ISBLANK('HVAC sizing letter'!$C$25),IF($A12&lt;17,0,IF($A12&lt;47,$A12*'CALC-INPUTS'!$C$3+'CALC-INPUTS'!$D$3,IF($A12&lt;50,'CALC-INPUTS'!$B$3,0))),IF($A12&lt;5,0,IF($A12&lt;17,$A12*'CALC-INPUTS'!$C$4+'CALC-INPUTS'!$D$4,IF($A12&lt;47,$A12*'CALC-INPUTS'!$C$3+'CALC-INPUTS'!$D$3,IF($A12&lt;50,'CALC-INPUTS'!$B$3,0)))))</f>
        <v>0</v>
      </c>
      <c r="D12" s="46" t="e">
        <f>+(IF(A12&lt;=50,A!$G$45*(1-((A12-(-9))/(50-(-9)))),IF(AND(A12&gt;50,A12&lt;70),0,A!$G$46*(1-((88-A12)/(88-70))))))</f>
        <v>#VALUE!</v>
      </c>
      <c r="E12" s="46" t="e">
        <f t="shared" si="0"/>
        <v>#VALUE!</v>
      </c>
      <c r="F12" s="46" t="e">
        <f t="shared" si="1"/>
        <v>#VALUE!</v>
      </c>
      <c r="G12" s="46" t="e">
        <f t="shared" si="2"/>
        <v>#VALUE!</v>
      </c>
      <c r="H12" s="46" t="e">
        <f t="shared" si="3"/>
        <v>#VALUE!</v>
      </c>
      <c r="I12" s="46" t="e">
        <f>IF(ISBLANK('HVAC sizing letter'!$C$25),IF($A12&lt;17,NA(),IF($A12&lt;47,$A12*'CALC-INPUTS'!$C$3+'CALC-INPUTS'!$D$3,IF($A12&lt;50,'CALC-INPUTS'!$B$3,NA()))),IF($A12&lt;5,NA(),IF($A12&lt;17,$A12*'CALC-INPUTS'!$C$4+'CALC-INPUTS'!$D$4,IF($A12&lt;47,$A12*'CALC-INPUTS'!$C$3+'CALC-INPUTS'!$D$3,IF($A12&lt;50,'CALC-INPUTS'!$B$3,NA())))))</f>
        <v>#N/A</v>
      </c>
      <c r="J12" s="46" t="e">
        <f>+IF(A12&lt;=50,A!$G$45*(1-((A12-(-9))/(50-(-9)))),NA())</f>
        <v>#VALUE!</v>
      </c>
      <c r="K12" s="46" t="e">
        <f>+(IF(A12&gt;=70,A!$G$46*(1-((88-A12)/(88-70))),NA()))</f>
        <v>#N/A</v>
      </c>
      <c r="L12" s="63" t="e">
        <f>++IF('HVAC sizing letter'!$C$14="No",NA(),IF(A12&gt;-8,IF(E12="YES",IF(ISBLANK('HVAC sizing letter'!$C$25),IF($A12&lt;17,0,IF($A12&lt;47,$A12*'CALC-INPUTS'!$C$3+'CALC-INPUTS'!$D$3,IF($A12&lt;50,'CALC-INPUTS'!$B$3,NA()))),IF($A12&lt;5,0,IF($A12&lt;17,$A12*'CALC-INPUTS'!$C$4+'CALC-INPUTS'!$D$4,IF($A12&lt;47,$A12*'CALC-INPUTS'!$C$3+'CALC-INPUTS'!$D$3,IF($A12&lt;50,'CALC-INPUTS'!$B$3,NA()))))),NA()),NA()))</f>
        <v>#VALUE!</v>
      </c>
      <c r="M12" s="63" t="e">
        <f>IF('HVAC sizing letter'!$C$14="No",NA(),IF(A12&gt;-8,IF(E12="YES",D12,NA()),NA()))</f>
        <v>#VALUE!</v>
      </c>
      <c r="N12" s="63" t="e">
        <f t="shared" si="4"/>
        <v>#VALUE!</v>
      </c>
    </row>
    <row r="13" spans="1:14" x14ac:dyDescent="0.25">
      <c r="A13" s="37">
        <v>2</v>
      </c>
      <c r="B13" s="37">
        <v>57</v>
      </c>
      <c r="C13" s="46">
        <f>IF(ISBLANK('HVAC sizing letter'!$C$25),IF($A13&lt;17,0,IF($A13&lt;47,$A13*'CALC-INPUTS'!$C$3+'CALC-INPUTS'!$D$3,IF($A13&lt;50,'CALC-INPUTS'!$B$3,0))),IF($A13&lt;5,0,IF($A13&lt;17,$A13*'CALC-INPUTS'!$C$4+'CALC-INPUTS'!$D$4,IF($A13&lt;47,$A13*'CALC-INPUTS'!$C$3+'CALC-INPUTS'!$D$3,IF($A13&lt;50,'CALC-INPUTS'!$B$3,0)))))</f>
        <v>0</v>
      </c>
      <c r="D13" s="46" t="e">
        <f>+(IF(A13&lt;=50,A!$G$45*(1-((A13-(-9))/(50-(-9)))),IF(AND(A13&gt;50,A13&lt;70),0,A!$G$46*(1-((88-A13)/(88-70))))))</f>
        <v>#VALUE!</v>
      </c>
      <c r="E13" s="46" t="e">
        <f t="shared" si="0"/>
        <v>#VALUE!</v>
      </c>
      <c r="F13" s="46" t="e">
        <f t="shared" si="1"/>
        <v>#VALUE!</v>
      </c>
      <c r="G13" s="46" t="e">
        <f t="shared" si="2"/>
        <v>#VALUE!</v>
      </c>
      <c r="H13" s="46" t="e">
        <f t="shared" si="3"/>
        <v>#VALUE!</v>
      </c>
      <c r="I13" s="46" t="e">
        <f>IF(ISBLANK('HVAC sizing letter'!$C$25),IF($A13&lt;17,NA(),IF($A13&lt;47,$A13*'CALC-INPUTS'!$C$3+'CALC-INPUTS'!$D$3,IF($A13&lt;50,'CALC-INPUTS'!$B$3,NA()))),IF($A13&lt;5,NA(),IF($A13&lt;17,$A13*'CALC-INPUTS'!$C$4+'CALC-INPUTS'!$D$4,IF($A13&lt;47,$A13*'CALC-INPUTS'!$C$3+'CALC-INPUTS'!$D$3,IF($A13&lt;50,'CALC-INPUTS'!$B$3,NA())))))</f>
        <v>#N/A</v>
      </c>
      <c r="J13" s="46" t="e">
        <f>+IF(A13&lt;=50,A!$G$45*(1-((A13-(-9))/(50-(-9)))),NA())</f>
        <v>#VALUE!</v>
      </c>
      <c r="K13" s="46" t="e">
        <f>+(IF(A13&gt;=70,A!$G$46*(1-((88-A13)/(88-70))),NA()))</f>
        <v>#N/A</v>
      </c>
      <c r="L13" s="63" t="e">
        <f>++IF('HVAC sizing letter'!$C$14="No",NA(),IF(A13&gt;-8,IF(E13="YES",IF(ISBLANK('HVAC sizing letter'!$C$25),IF($A13&lt;17,0,IF($A13&lt;47,$A13*'CALC-INPUTS'!$C$3+'CALC-INPUTS'!$D$3,IF($A13&lt;50,'CALC-INPUTS'!$B$3,NA()))),IF($A13&lt;5,0,IF($A13&lt;17,$A13*'CALC-INPUTS'!$C$4+'CALC-INPUTS'!$D$4,IF($A13&lt;47,$A13*'CALC-INPUTS'!$C$3+'CALC-INPUTS'!$D$3,IF($A13&lt;50,'CALC-INPUTS'!$B$3,NA()))))),NA()),NA()))</f>
        <v>#VALUE!</v>
      </c>
      <c r="M13" s="63" t="e">
        <f>IF('HVAC sizing letter'!$C$14="No",NA(),IF(A13&gt;-8,IF(E13="YES",D13,NA()),NA()))</f>
        <v>#VALUE!</v>
      </c>
      <c r="N13" s="63" t="e">
        <f t="shared" si="4"/>
        <v>#VALUE!</v>
      </c>
    </row>
    <row r="14" spans="1:14" x14ac:dyDescent="0.25">
      <c r="A14" s="37">
        <v>4</v>
      </c>
      <c r="B14" s="37">
        <v>54</v>
      </c>
      <c r="C14" s="46">
        <f>IF(ISBLANK('HVAC sizing letter'!$C$25),IF($A14&lt;17,0,IF($A14&lt;47,$A14*'CALC-INPUTS'!$C$3+'CALC-INPUTS'!$D$3,IF($A14&lt;50,'CALC-INPUTS'!$B$3,0))),IF($A14&lt;5,0,IF($A14&lt;17,$A14*'CALC-INPUTS'!$C$4+'CALC-INPUTS'!$D$4,IF($A14&lt;47,$A14*'CALC-INPUTS'!$C$3+'CALC-INPUTS'!$D$3,IF($A14&lt;50,'CALC-INPUTS'!$B$3,0)))))</f>
        <v>0</v>
      </c>
      <c r="D14" s="46" t="e">
        <f>+(IF(A14&lt;=50,A!$G$45*(1-((A14-(-9))/(50-(-9)))),IF(AND(A14&gt;50,A14&lt;70),0,A!$G$46*(1-((88-A14)/(88-70))))))</f>
        <v>#VALUE!</v>
      </c>
      <c r="E14" s="46" t="e">
        <f t="shared" si="0"/>
        <v>#VALUE!</v>
      </c>
      <c r="F14" s="46" t="e">
        <f t="shared" si="1"/>
        <v>#VALUE!</v>
      </c>
      <c r="G14" s="46" t="e">
        <f t="shared" si="2"/>
        <v>#VALUE!</v>
      </c>
      <c r="H14" s="46" t="e">
        <f t="shared" si="3"/>
        <v>#VALUE!</v>
      </c>
      <c r="I14" s="46" t="e">
        <f>IF(ISBLANK('HVAC sizing letter'!$C$25),IF($A14&lt;17,NA(),IF($A14&lt;47,$A14*'CALC-INPUTS'!$C$3+'CALC-INPUTS'!$D$3,IF($A14&lt;50,'CALC-INPUTS'!$B$3,NA()))),IF($A14&lt;5,NA(),IF($A14&lt;17,$A14*'CALC-INPUTS'!$C$4+'CALC-INPUTS'!$D$4,IF($A14&lt;47,$A14*'CALC-INPUTS'!$C$3+'CALC-INPUTS'!$D$3,IF($A14&lt;50,'CALC-INPUTS'!$B$3,NA())))))</f>
        <v>#N/A</v>
      </c>
      <c r="J14" s="46" t="e">
        <f>+IF(A14&lt;=50,A!$G$45*(1-((A14-(-9))/(50-(-9)))),NA())</f>
        <v>#VALUE!</v>
      </c>
      <c r="K14" s="46" t="e">
        <f>+(IF(A14&gt;=70,A!$G$46*(1-((88-A14)/(88-70))),NA()))</f>
        <v>#N/A</v>
      </c>
      <c r="L14" s="63" t="e">
        <f>++IF('HVAC sizing letter'!$C$14="No",NA(),IF(A14&gt;-8,IF(E14="YES",IF(ISBLANK('HVAC sizing letter'!$C$25),IF($A14&lt;17,0,IF($A14&lt;47,$A14*'CALC-INPUTS'!$C$3+'CALC-INPUTS'!$D$3,IF($A14&lt;50,'CALC-INPUTS'!$B$3,NA()))),IF($A14&lt;5,0,IF($A14&lt;17,$A14*'CALC-INPUTS'!$C$4+'CALC-INPUTS'!$D$4,IF($A14&lt;47,$A14*'CALC-INPUTS'!$C$3+'CALC-INPUTS'!$D$3,IF($A14&lt;50,'CALC-INPUTS'!$B$3,NA()))))),NA()),NA()))</f>
        <v>#VALUE!</v>
      </c>
      <c r="M14" s="63" t="e">
        <f>IF('HVAC sizing letter'!$C$14="No",NA(),IF(A14&gt;-8,IF(E14="YES",D14,NA()),NA()))</f>
        <v>#VALUE!</v>
      </c>
      <c r="N14" s="63" t="e">
        <f t="shared" si="4"/>
        <v>#VALUE!</v>
      </c>
    </row>
    <row r="15" spans="1:14" x14ac:dyDescent="0.25">
      <c r="A15" s="37">
        <v>6</v>
      </c>
      <c r="B15" s="37">
        <v>53</v>
      </c>
      <c r="C15" s="46">
        <f>IF(ISBLANK('HVAC sizing letter'!$C$25),IF($A15&lt;17,0,IF($A15&lt;47,$A15*'CALC-INPUTS'!$C$3+'CALC-INPUTS'!$D$3,IF($A15&lt;50,'CALC-INPUTS'!$B$3,0))),IF($A15&lt;5,0,IF($A15&lt;17,$A15*'CALC-INPUTS'!$C$4+'CALC-INPUTS'!$D$4,IF($A15&lt;47,$A15*'CALC-INPUTS'!$C$3+'CALC-INPUTS'!$D$3,IF($A15&lt;50,'CALC-INPUTS'!$B$3,0)))))</f>
        <v>0</v>
      </c>
      <c r="D15" s="46" t="e">
        <f>+(IF(A15&lt;=50,A!$G$45*(1-((A15-(-9))/(50-(-9)))),IF(AND(A15&gt;50,A15&lt;70),0,A!$G$46*(1-((88-A15)/(88-70))))))</f>
        <v>#VALUE!</v>
      </c>
      <c r="E15" s="46" t="e">
        <f t="shared" si="0"/>
        <v>#VALUE!</v>
      </c>
      <c r="F15" s="46" t="e">
        <f t="shared" si="1"/>
        <v>#VALUE!</v>
      </c>
      <c r="G15" s="46" t="e">
        <f t="shared" si="2"/>
        <v>#VALUE!</v>
      </c>
      <c r="H15" s="46" t="e">
        <f t="shared" si="3"/>
        <v>#VALUE!</v>
      </c>
      <c r="I15" s="46" t="e">
        <f>IF(ISBLANK('HVAC sizing letter'!$C$25),IF($A15&lt;17,NA(),IF($A15&lt;47,$A15*'CALC-INPUTS'!$C$3+'CALC-INPUTS'!$D$3,IF($A15&lt;50,'CALC-INPUTS'!$B$3,NA()))),IF($A15&lt;5,NA(),IF($A15&lt;17,$A15*'CALC-INPUTS'!$C$4+'CALC-INPUTS'!$D$4,IF($A15&lt;47,$A15*'CALC-INPUTS'!$C$3+'CALC-INPUTS'!$D$3,IF($A15&lt;50,'CALC-INPUTS'!$B$3,NA())))))</f>
        <v>#N/A</v>
      </c>
      <c r="J15" s="46" t="e">
        <f>+IF(A15&lt;=50,A!$G$45*(1-((A15-(-9))/(50-(-9)))),NA())</f>
        <v>#VALUE!</v>
      </c>
      <c r="K15" s="46" t="e">
        <f>+(IF(A15&gt;=70,A!$G$46*(1-((88-A15)/(88-70))),NA()))</f>
        <v>#N/A</v>
      </c>
      <c r="L15" s="63" t="e">
        <f>++IF('HVAC sizing letter'!$C$14="No",NA(),IF(A15&gt;-8,IF(E15="YES",IF(ISBLANK('HVAC sizing letter'!$C$25),IF($A15&lt;17,0,IF($A15&lt;47,$A15*'CALC-INPUTS'!$C$3+'CALC-INPUTS'!$D$3,IF($A15&lt;50,'CALC-INPUTS'!$B$3,NA()))),IF($A15&lt;5,0,IF($A15&lt;17,$A15*'CALC-INPUTS'!$C$4+'CALC-INPUTS'!$D$4,IF($A15&lt;47,$A15*'CALC-INPUTS'!$C$3+'CALC-INPUTS'!$D$3,IF($A15&lt;50,'CALC-INPUTS'!$B$3,NA()))))),NA()),NA()))</f>
        <v>#VALUE!</v>
      </c>
      <c r="M15" s="63" t="e">
        <f>IF('HVAC sizing letter'!$C$14="No",NA(),IF(A15&gt;-8,IF(E15="YES",D15,NA()),NA()))</f>
        <v>#VALUE!</v>
      </c>
      <c r="N15" s="63" t="e">
        <f t="shared" si="4"/>
        <v>#VALUE!</v>
      </c>
    </row>
    <row r="16" spans="1:14" x14ac:dyDescent="0.25">
      <c r="A16" s="37">
        <v>8</v>
      </c>
      <c r="B16" s="37">
        <v>62</v>
      </c>
      <c r="C16" s="46">
        <f>IF(ISBLANK('HVAC sizing letter'!$C$25),IF($A16&lt;17,0,IF($A16&lt;47,$A16*'CALC-INPUTS'!$C$3+'CALC-INPUTS'!$D$3,IF($A16&lt;50,'CALC-INPUTS'!$B$3,0))),IF($A16&lt;5,0,IF($A16&lt;17,$A16*'CALC-INPUTS'!$C$4+'CALC-INPUTS'!$D$4,IF($A16&lt;47,$A16*'CALC-INPUTS'!$C$3+'CALC-INPUTS'!$D$3,IF($A16&lt;50,'CALC-INPUTS'!$B$3,0)))))</f>
        <v>0</v>
      </c>
      <c r="D16" s="46" t="e">
        <f>+(IF(A16&lt;=50,A!$G$45*(1-((A16-(-9))/(50-(-9)))),IF(AND(A16&gt;50,A16&lt;70),0,A!$G$46*(1-((88-A16)/(88-70))))))</f>
        <v>#VALUE!</v>
      </c>
      <c r="E16" s="46" t="e">
        <f t="shared" si="0"/>
        <v>#VALUE!</v>
      </c>
      <c r="F16" s="46" t="e">
        <f t="shared" si="1"/>
        <v>#VALUE!</v>
      </c>
      <c r="G16" s="46" t="e">
        <f t="shared" si="2"/>
        <v>#VALUE!</v>
      </c>
      <c r="H16" s="46" t="e">
        <f t="shared" si="3"/>
        <v>#VALUE!</v>
      </c>
      <c r="I16" s="46" t="e">
        <f>IF(ISBLANK('HVAC sizing letter'!$C$25),IF($A16&lt;17,NA(),IF($A16&lt;47,$A16*'CALC-INPUTS'!$C$3+'CALC-INPUTS'!$D$3,IF($A16&lt;50,'CALC-INPUTS'!$B$3,NA()))),IF($A16&lt;5,NA(),IF($A16&lt;17,$A16*'CALC-INPUTS'!$C$4+'CALC-INPUTS'!$D$4,IF($A16&lt;47,$A16*'CALC-INPUTS'!$C$3+'CALC-INPUTS'!$D$3,IF($A16&lt;50,'CALC-INPUTS'!$B$3,NA())))))</f>
        <v>#N/A</v>
      </c>
      <c r="J16" s="46" t="e">
        <f>+IF(A16&lt;=50,A!$G$45*(1-((A16-(-9))/(50-(-9)))),NA())</f>
        <v>#VALUE!</v>
      </c>
      <c r="K16" s="46" t="e">
        <f>+(IF(A16&gt;=70,A!$G$46*(1-((88-A16)/(88-70))),NA()))</f>
        <v>#N/A</v>
      </c>
      <c r="L16" s="63" t="e">
        <f>++IF('HVAC sizing letter'!$C$14="No",NA(),IF(A16&gt;-8,IF(E16="YES",IF(ISBLANK('HVAC sizing letter'!$C$25),IF($A16&lt;17,0,IF($A16&lt;47,$A16*'CALC-INPUTS'!$C$3+'CALC-INPUTS'!$D$3,IF($A16&lt;50,'CALC-INPUTS'!$B$3,NA()))),IF($A16&lt;5,0,IF($A16&lt;17,$A16*'CALC-INPUTS'!$C$4+'CALC-INPUTS'!$D$4,IF($A16&lt;47,$A16*'CALC-INPUTS'!$C$3+'CALC-INPUTS'!$D$3,IF($A16&lt;50,'CALC-INPUTS'!$B$3,NA()))))),NA()),NA()))</f>
        <v>#VALUE!</v>
      </c>
      <c r="M16" s="63" t="e">
        <f>IF('HVAC sizing letter'!$C$14="No",NA(),IF(A16&gt;-8,IF(E16="YES",D16,NA()),NA()))</f>
        <v>#VALUE!</v>
      </c>
      <c r="N16" s="63" t="e">
        <f t="shared" si="4"/>
        <v>#VALUE!</v>
      </c>
    </row>
    <row r="17" spans="1:14" x14ac:dyDescent="0.25">
      <c r="A17" s="37">
        <v>10</v>
      </c>
      <c r="B17" s="37">
        <v>79</v>
      </c>
      <c r="C17" s="46">
        <f>IF(ISBLANK('HVAC sizing letter'!$C$25),IF($A17&lt;17,0,IF($A17&lt;47,$A17*'CALC-INPUTS'!$C$3+'CALC-INPUTS'!$D$3,IF($A17&lt;50,'CALC-INPUTS'!$B$3,0))),IF($A17&lt;5,0,IF($A17&lt;17,$A17*'CALC-INPUTS'!$C$4+'CALC-INPUTS'!$D$4,IF($A17&lt;47,$A17*'CALC-INPUTS'!$C$3+'CALC-INPUTS'!$D$3,IF($A17&lt;50,'CALC-INPUTS'!$B$3,0)))))</f>
        <v>0</v>
      </c>
      <c r="D17" s="46" t="e">
        <f>+(IF(A17&lt;=50,A!$G$45*(1-((A17-(-9))/(50-(-9)))),IF(AND(A17&gt;50,A17&lt;70),0,A!$G$46*(1-((88-A17)/(88-70))))))</f>
        <v>#VALUE!</v>
      </c>
      <c r="E17" s="46" t="e">
        <f t="shared" si="0"/>
        <v>#VALUE!</v>
      </c>
      <c r="F17" s="46" t="e">
        <f t="shared" si="1"/>
        <v>#VALUE!</v>
      </c>
      <c r="G17" s="46" t="e">
        <f t="shared" si="2"/>
        <v>#VALUE!</v>
      </c>
      <c r="H17" s="46" t="e">
        <f t="shared" si="3"/>
        <v>#VALUE!</v>
      </c>
      <c r="I17" s="46" t="e">
        <f>IF(ISBLANK('HVAC sizing letter'!$C$25),IF($A17&lt;17,NA(),IF($A17&lt;47,$A17*'CALC-INPUTS'!$C$3+'CALC-INPUTS'!$D$3,IF($A17&lt;50,'CALC-INPUTS'!$B$3,NA()))),IF($A17&lt;5,NA(),IF($A17&lt;17,$A17*'CALC-INPUTS'!$C$4+'CALC-INPUTS'!$D$4,IF($A17&lt;47,$A17*'CALC-INPUTS'!$C$3+'CALC-INPUTS'!$D$3,IF($A17&lt;50,'CALC-INPUTS'!$B$3,NA())))))</f>
        <v>#N/A</v>
      </c>
      <c r="J17" s="46" t="e">
        <f>+IF(A17&lt;=50,A!$G$45*(1-((A17-(-9))/(50-(-9)))),NA())</f>
        <v>#VALUE!</v>
      </c>
      <c r="K17" s="46" t="e">
        <f>+(IF(A17&gt;=70,A!$G$46*(1-((88-A17)/(88-70))),NA()))</f>
        <v>#N/A</v>
      </c>
      <c r="L17" s="63" t="e">
        <f>++IF('HVAC sizing letter'!$C$14="No",NA(),IF(A17&gt;-8,IF(E17="YES",IF(ISBLANK('HVAC sizing letter'!$C$25),IF($A17&lt;17,0,IF($A17&lt;47,$A17*'CALC-INPUTS'!$C$3+'CALC-INPUTS'!$D$3,IF($A17&lt;50,'CALC-INPUTS'!$B$3,NA()))),IF($A17&lt;5,0,IF($A17&lt;17,$A17*'CALC-INPUTS'!$C$4+'CALC-INPUTS'!$D$4,IF($A17&lt;47,$A17*'CALC-INPUTS'!$C$3+'CALC-INPUTS'!$D$3,IF($A17&lt;50,'CALC-INPUTS'!$B$3,NA()))))),NA()),NA()))</f>
        <v>#VALUE!</v>
      </c>
      <c r="M17" s="63" t="e">
        <f>IF('HVAC sizing letter'!$C$14="No",NA(),IF(A17&gt;-8,IF(E17="YES",D17,NA()),NA()))</f>
        <v>#VALUE!</v>
      </c>
      <c r="N17" s="63" t="e">
        <f t="shared" si="4"/>
        <v>#VALUE!</v>
      </c>
    </row>
    <row r="18" spans="1:14" x14ac:dyDescent="0.25">
      <c r="A18" s="37">
        <v>12</v>
      </c>
      <c r="B18" s="37">
        <v>83</v>
      </c>
      <c r="C18" s="46">
        <f>IF(ISBLANK('HVAC sizing letter'!$C$25),IF($A18&lt;17,0,IF($A18&lt;47,$A18*'CALC-INPUTS'!$C$3+'CALC-INPUTS'!$D$3,IF($A18&lt;50,'CALC-INPUTS'!$B$3,0))),IF($A18&lt;5,0,IF($A18&lt;17,$A18*'CALC-INPUTS'!$C$4+'CALC-INPUTS'!$D$4,IF($A18&lt;47,$A18*'CALC-INPUTS'!$C$3+'CALC-INPUTS'!$D$3,IF($A18&lt;50,'CALC-INPUTS'!$B$3,0)))))</f>
        <v>0</v>
      </c>
      <c r="D18" s="46" t="e">
        <f>+(IF(A18&lt;=50,A!$G$45*(1-((A18-(-9))/(50-(-9)))),IF(AND(A18&gt;50,A18&lt;70),0,A!$G$46*(1-((88-A18)/(88-70))))))</f>
        <v>#VALUE!</v>
      </c>
      <c r="E18" s="46" t="e">
        <f t="shared" si="0"/>
        <v>#VALUE!</v>
      </c>
      <c r="F18" s="46" t="e">
        <f t="shared" si="1"/>
        <v>#VALUE!</v>
      </c>
      <c r="G18" s="46" t="e">
        <f t="shared" si="2"/>
        <v>#VALUE!</v>
      </c>
      <c r="H18" s="46" t="e">
        <f t="shared" si="3"/>
        <v>#VALUE!</v>
      </c>
      <c r="I18" s="46" t="e">
        <f>IF(ISBLANK('HVAC sizing letter'!$C$25),IF($A18&lt;17,NA(),IF($A18&lt;47,$A18*'CALC-INPUTS'!$C$3+'CALC-INPUTS'!$D$3,IF($A18&lt;50,'CALC-INPUTS'!$B$3,NA()))),IF($A18&lt;5,NA(),IF($A18&lt;17,$A18*'CALC-INPUTS'!$C$4+'CALC-INPUTS'!$D$4,IF($A18&lt;47,$A18*'CALC-INPUTS'!$C$3+'CALC-INPUTS'!$D$3,IF($A18&lt;50,'CALC-INPUTS'!$B$3,NA())))))</f>
        <v>#N/A</v>
      </c>
      <c r="J18" s="46" t="e">
        <f>+IF(A18&lt;=50,A!$G$45*(1-((A18-(-9))/(50-(-9)))),NA())</f>
        <v>#VALUE!</v>
      </c>
      <c r="K18" s="46" t="e">
        <f>+(IF(A18&gt;=70,A!$G$46*(1-((88-A18)/(88-70))),NA()))</f>
        <v>#N/A</v>
      </c>
      <c r="L18" s="63" t="e">
        <f>++IF('HVAC sizing letter'!$C$14="No",NA(),IF(A18&gt;-8,IF(E18="YES",IF(ISBLANK('HVAC sizing letter'!$C$25),IF($A18&lt;17,0,IF($A18&lt;47,$A18*'CALC-INPUTS'!$C$3+'CALC-INPUTS'!$D$3,IF($A18&lt;50,'CALC-INPUTS'!$B$3,NA()))),IF($A18&lt;5,0,IF($A18&lt;17,$A18*'CALC-INPUTS'!$C$4+'CALC-INPUTS'!$D$4,IF($A18&lt;47,$A18*'CALC-INPUTS'!$C$3+'CALC-INPUTS'!$D$3,IF($A18&lt;50,'CALC-INPUTS'!$B$3,NA()))))),NA()),NA()))</f>
        <v>#VALUE!</v>
      </c>
      <c r="M18" s="63" t="e">
        <f>IF('HVAC sizing letter'!$C$14="No",NA(),IF(A18&gt;-8,IF(E18="YES",D18,NA()),NA()))</f>
        <v>#VALUE!</v>
      </c>
      <c r="N18" s="63" t="e">
        <f t="shared" si="4"/>
        <v>#VALUE!</v>
      </c>
    </row>
    <row r="19" spans="1:14" x14ac:dyDescent="0.25">
      <c r="A19" s="37">
        <v>14</v>
      </c>
      <c r="B19" s="37">
        <v>110</v>
      </c>
      <c r="C19" s="46">
        <f>IF(ISBLANK('HVAC sizing letter'!$C$25),IF($A19&lt;17,0,IF($A19&lt;47,$A19*'CALC-INPUTS'!$C$3+'CALC-INPUTS'!$D$3,IF($A19&lt;50,'CALC-INPUTS'!$B$3,0))),IF($A19&lt;5,0,IF($A19&lt;17,$A19*'CALC-INPUTS'!$C$4+'CALC-INPUTS'!$D$4,IF($A19&lt;47,$A19*'CALC-INPUTS'!$C$3+'CALC-INPUTS'!$D$3,IF($A19&lt;50,'CALC-INPUTS'!$B$3,0)))))</f>
        <v>0</v>
      </c>
      <c r="D19" s="46" t="e">
        <f>+(IF(A19&lt;=50,A!$G$45*(1-((A19-(-9))/(50-(-9)))),IF(AND(A19&gt;50,A19&lt;70),0,A!$G$46*(1-((88-A19)/(88-70))))))</f>
        <v>#VALUE!</v>
      </c>
      <c r="E19" s="46" t="e">
        <f t="shared" si="0"/>
        <v>#VALUE!</v>
      </c>
      <c r="F19" s="46" t="e">
        <f t="shared" si="1"/>
        <v>#VALUE!</v>
      </c>
      <c r="G19" s="46" t="e">
        <f t="shared" si="2"/>
        <v>#VALUE!</v>
      </c>
      <c r="H19" s="46" t="e">
        <f t="shared" si="3"/>
        <v>#VALUE!</v>
      </c>
      <c r="I19" s="46" t="e">
        <f>IF(ISBLANK('HVAC sizing letter'!$C$25),IF($A19&lt;17,NA(),IF($A19&lt;47,$A19*'CALC-INPUTS'!$C$3+'CALC-INPUTS'!$D$3,IF($A19&lt;50,'CALC-INPUTS'!$B$3,NA()))),IF($A19&lt;5,NA(),IF($A19&lt;17,$A19*'CALC-INPUTS'!$C$4+'CALC-INPUTS'!$D$4,IF($A19&lt;47,$A19*'CALC-INPUTS'!$C$3+'CALC-INPUTS'!$D$3,IF($A19&lt;50,'CALC-INPUTS'!$B$3,NA())))))</f>
        <v>#N/A</v>
      </c>
      <c r="J19" s="46" t="e">
        <f>+IF(A19&lt;=50,A!$G$45*(1-((A19-(-9))/(50-(-9)))),NA())</f>
        <v>#VALUE!</v>
      </c>
      <c r="K19" s="46" t="e">
        <f>+(IF(A19&gt;=70,A!$G$46*(1-((88-A19)/(88-70))),NA()))</f>
        <v>#N/A</v>
      </c>
      <c r="L19" s="63" t="e">
        <f>++IF('HVAC sizing letter'!$C$14="No",NA(),IF(A19&gt;-8,IF(E19="YES",IF(ISBLANK('HVAC sizing letter'!$C$25),IF($A19&lt;17,0,IF($A19&lt;47,$A19*'CALC-INPUTS'!$C$3+'CALC-INPUTS'!$D$3,IF($A19&lt;50,'CALC-INPUTS'!$B$3,NA()))),IF($A19&lt;5,0,IF($A19&lt;17,$A19*'CALC-INPUTS'!$C$4+'CALC-INPUTS'!$D$4,IF($A19&lt;47,$A19*'CALC-INPUTS'!$C$3+'CALC-INPUTS'!$D$3,IF($A19&lt;50,'CALC-INPUTS'!$B$3,NA()))))),NA()),NA()))</f>
        <v>#VALUE!</v>
      </c>
      <c r="M19" s="63" t="e">
        <f>IF('HVAC sizing letter'!$C$14="No",NA(),IF(A19&gt;-8,IF(E19="YES",D19,NA()),NA()))</f>
        <v>#VALUE!</v>
      </c>
      <c r="N19" s="63" t="e">
        <f t="shared" si="4"/>
        <v>#VALUE!</v>
      </c>
    </row>
    <row r="20" spans="1:14" x14ac:dyDescent="0.25">
      <c r="A20" s="37">
        <v>16</v>
      </c>
      <c r="B20" s="37">
        <v>131</v>
      </c>
      <c r="C20" s="46">
        <f>IF(ISBLANK('HVAC sizing letter'!$C$25),IF($A20&lt;17,0,IF($A20&lt;47,$A20*'CALC-INPUTS'!$C$3+'CALC-INPUTS'!$D$3,IF($A20&lt;50,'CALC-INPUTS'!$B$3,0))),IF($A20&lt;5,0,IF($A20&lt;17,$A20*'CALC-INPUTS'!$C$4+'CALC-INPUTS'!$D$4,IF($A20&lt;47,$A20*'CALC-INPUTS'!$C$3+'CALC-INPUTS'!$D$3,IF($A20&lt;50,'CALC-INPUTS'!$B$3,0)))))</f>
        <v>0</v>
      </c>
      <c r="D20" s="46" t="e">
        <f>+(IF(A20&lt;=50,A!$G$45*(1-((A20-(-9))/(50-(-9)))),IF(AND(A20&gt;50,A20&lt;70),0,A!$G$46*(1-((88-A20)/(88-70))))))</f>
        <v>#VALUE!</v>
      </c>
      <c r="E20" s="46" t="e">
        <f t="shared" si="0"/>
        <v>#VALUE!</v>
      </c>
      <c r="F20" s="46" t="e">
        <f t="shared" si="1"/>
        <v>#VALUE!</v>
      </c>
      <c r="G20" s="46" t="e">
        <f t="shared" si="2"/>
        <v>#VALUE!</v>
      </c>
      <c r="H20" s="46" t="e">
        <f t="shared" si="3"/>
        <v>#VALUE!</v>
      </c>
      <c r="I20" s="46" t="e">
        <f>IF(ISBLANK('HVAC sizing letter'!$C$25),IF($A20&lt;17,NA(),IF($A20&lt;47,$A20*'CALC-INPUTS'!$C$3+'CALC-INPUTS'!$D$3,IF($A20&lt;50,'CALC-INPUTS'!$B$3,NA()))),IF($A20&lt;5,NA(),IF($A20&lt;17,$A20*'CALC-INPUTS'!$C$4+'CALC-INPUTS'!$D$4,IF($A20&lt;47,$A20*'CALC-INPUTS'!$C$3+'CALC-INPUTS'!$D$3,IF($A20&lt;50,'CALC-INPUTS'!$B$3,NA())))))</f>
        <v>#N/A</v>
      </c>
      <c r="J20" s="46" t="e">
        <f>+IF(A20&lt;=50,A!$G$45*(1-((A20-(-9))/(50-(-9)))),NA())</f>
        <v>#VALUE!</v>
      </c>
      <c r="K20" s="46" t="e">
        <f>+(IF(A20&gt;=70,A!$G$46*(1-((88-A20)/(88-70))),NA()))</f>
        <v>#N/A</v>
      </c>
      <c r="L20" s="63" t="e">
        <f>++IF('HVAC sizing letter'!$C$14="No",NA(),IF(A20&gt;-8,IF(E20="YES",IF(ISBLANK('HVAC sizing letter'!$C$25),IF($A20&lt;17,0,IF($A20&lt;47,$A20*'CALC-INPUTS'!$C$3+'CALC-INPUTS'!$D$3,IF($A20&lt;50,'CALC-INPUTS'!$B$3,NA()))),IF($A20&lt;5,0,IF($A20&lt;17,$A20*'CALC-INPUTS'!$C$4+'CALC-INPUTS'!$D$4,IF($A20&lt;47,$A20*'CALC-INPUTS'!$C$3+'CALC-INPUTS'!$D$3,IF($A20&lt;50,'CALC-INPUTS'!$B$3,NA()))))),NA()),NA()))</f>
        <v>#VALUE!</v>
      </c>
      <c r="M20" s="63" t="e">
        <f>IF('HVAC sizing letter'!$C$14="No",NA(),IF(A20&gt;-8,IF(E20="YES",D20,NA()),NA()))</f>
        <v>#VALUE!</v>
      </c>
      <c r="N20" s="63" t="e">
        <f t="shared" si="4"/>
        <v>#VALUE!</v>
      </c>
    </row>
    <row r="21" spans="1:14" x14ac:dyDescent="0.25">
      <c r="A21" s="37">
        <v>18</v>
      </c>
      <c r="B21" s="37">
        <v>133</v>
      </c>
      <c r="C21" s="46">
        <f>IF(ISBLANK('HVAC sizing letter'!$C$25),IF($A21&lt;17,0,IF($A21&lt;47,$A21*'CALC-INPUTS'!$C$3+'CALC-INPUTS'!$D$3,IF($A21&lt;50,'CALC-INPUTS'!$B$3,0))),IF($A21&lt;5,0,IF($A21&lt;17,$A21*'CALC-INPUTS'!$C$4+'CALC-INPUTS'!$D$4,IF($A21&lt;47,$A21*'CALC-INPUTS'!$C$3+'CALC-INPUTS'!$D$3,IF($A21&lt;50,'CALC-INPUTS'!$B$3,0)))))</f>
        <v>0</v>
      </c>
      <c r="D21" s="46" t="e">
        <f>+(IF(A21&lt;=50,A!$G$45*(1-((A21-(-9))/(50-(-9)))),IF(AND(A21&gt;50,A21&lt;70),0,A!$G$46*(1-((88-A21)/(88-70))))))</f>
        <v>#VALUE!</v>
      </c>
      <c r="E21" s="46" t="e">
        <f t="shared" si="0"/>
        <v>#VALUE!</v>
      </c>
      <c r="F21" s="46" t="e">
        <f t="shared" si="1"/>
        <v>#VALUE!</v>
      </c>
      <c r="G21" s="46" t="e">
        <f t="shared" si="2"/>
        <v>#VALUE!</v>
      </c>
      <c r="H21" s="46" t="e">
        <f t="shared" si="3"/>
        <v>#VALUE!</v>
      </c>
      <c r="I21" s="46">
        <f>IF(ISBLANK('HVAC sizing letter'!$C$25),IF($A21&lt;17,NA(),IF($A21&lt;47,$A21*'CALC-INPUTS'!$C$3+'CALC-INPUTS'!$D$3,IF($A21&lt;50,'CALC-INPUTS'!$B$3,NA()))),IF($A21&lt;5,NA(),IF($A21&lt;17,$A21*'CALC-INPUTS'!$C$4+'CALC-INPUTS'!$D$4,IF($A21&lt;47,$A21*'CALC-INPUTS'!$C$3+'CALC-INPUTS'!$D$3,IF($A21&lt;50,'CALC-INPUTS'!$B$3,NA())))))</f>
        <v>0</v>
      </c>
      <c r="J21" s="46" t="e">
        <f>+IF(A21&lt;=50,A!$G$45*(1-((A21-(-9))/(50-(-9)))),NA())</f>
        <v>#VALUE!</v>
      </c>
      <c r="K21" s="46" t="e">
        <f>+(IF(A21&gt;=70,A!$G$46*(1-((88-A21)/(88-70))),NA()))</f>
        <v>#N/A</v>
      </c>
      <c r="L21" s="63" t="e">
        <f>++IF('HVAC sizing letter'!$C$14="No",NA(),IF(A21&gt;-8,IF(E21="YES",IF(ISBLANK('HVAC sizing letter'!$C$25),IF($A21&lt;17,0,IF($A21&lt;47,$A21*'CALC-INPUTS'!$C$3+'CALC-INPUTS'!$D$3,IF($A21&lt;50,'CALC-INPUTS'!$B$3,NA()))),IF($A21&lt;5,0,IF($A21&lt;17,$A21*'CALC-INPUTS'!$C$4+'CALC-INPUTS'!$D$4,IF($A21&lt;47,$A21*'CALC-INPUTS'!$C$3+'CALC-INPUTS'!$D$3,IF($A21&lt;50,'CALC-INPUTS'!$B$3,NA()))))),NA()),NA()))</f>
        <v>#VALUE!</v>
      </c>
      <c r="M21" s="63" t="e">
        <f>IF('HVAC sizing letter'!$C$14="No",NA(),IF(A21&gt;-8,IF(E21="YES",D21,NA()),NA()))</f>
        <v>#VALUE!</v>
      </c>
      <c r="N21" s="63" t="e">
        <f t="shared" si="4"/>
        <v>#VALUE!</v>
      </c>
    </row>
    <row r="22" spans="1:14" x14ac:dyDescent="0.25">
      <c r="A22" s="37">
        <v>20</v>
      </c>
      <c r="B22" s="37">
        <v>153</v>
      </c>
      <c r="C22" s="46">
        <f>IF(ISBLANK('HVAC sizing letter'!$C$25),IF($A22&lt;17,0,IF($A22&lt;47,$A22*'CALC-INPUTS'!$C$3+'CALC-INPUTS'!$D$3,IF($A22&lt;50,'CALC-INPUTS'!$B$3,0))),IF($A22&lt;5,0,IF($A22&lt;17,$A22*'CALC-INPUTS'!$C$4+'CALC-INPUTS'!$D$4,IF($A22&lt;47,$A22*'CALC-INPUTS'!$C$3+'CALC-INPUTS'!$D$3,IF($A22&lt;50,'CALC-INPUTS'!$B$3,0)))))</f>
        <v>0</v>
      </c>
      <c r="D22" s="46" t="e">
        <f>+(IF(A22&lt;=50,A!$G$45*(1-((A22-(-9))/(50-(-9)))),IF(AND(A22&gt;50,A22&lt;70),0,A!$G$46*(1-((88-A22)/(88-70))))))</f>
        <v>#VALUE!</v>
      </c>
      <c r="E22" s="46" t="e">
        <f t="shared" si="0"/>
        <v>#VALUE!</v>
      </c>
      <c r="F22" s="46" t="e">
        <f t="shared" si="1"/>
        <v>#VALUE!</v>
      </c>
      <c r="G22" s="46" t="e">
        <f t="shared" si="2"/>
        <v>#VALUE!</v>
      </c>
      <c r="H22" s="46" t="e">
        <f t="shared" si="3"/>
        <v>#VALUE!</v>
      </c>
      <c r="I22" s="46">
        <f>IF(ISBLANK('HVAC sizing letter'!$C$25),IF($A22&lt;17,NA(),IF($A22&lt;47,$A22*'CALC-INPUTS'!$C$3+'CALC-INPUTS'!$D$3,IF($A22&lt;50,'CALC-INPUTS'!$B$3,NA()))),IF($A22&lt;5,NA(),IF($A22&lt;17,$A22*'CALC-INPUTS'!$C$4+'CALC-INPUTS'!$D$4,IF($A22&lt;47,$A22*'CALC-INPUTS'!$C$3+'CALC-INPUTS'!$D$3,IF($A22&lt;50,'CALC-INPUTS'!$B$3,NA())))))</f>
        <v>0</v>
      </c>
      <c r="J22" s="46" t="e">
        <f>+IF(A22&lt;=50,A!$G$45*(1-((A22-(-9))/(50-(-9)))),NA())</f>
        <v>#VALUE!</v>
      </c>
      <c r="K22" s="46" t="e">
        <f>+(IF(A22&gt;=70,A!$G$46*(1-((88-A22)/(88-70))),NA()))</f>
        <v>#N/A</v>
      </c>
      <c r="L22" s="63" t="e">
        <f>++IF('HVAC sizing letter'!$C$14="No",NA(),IF(A22&gt;-8,IF(E22="YES",IF(ISBLANK('HVAC sizing letter'!$C$25),IF($A22&lt;17,0,IF($A22&lt;47,$A22*'CALC-INPUTS'!$C$3+'CALC-INPUTS'!$D$3,IF($A22&lt;50,'CALC-INPUTS'!$B$3,NA()))),IF($A22&lt;5,0,IF($A22&lt;17,$A22*'CALC-INPUTS'!$C$4+'CALC-INPUTS'!$D$4,IF($A22&lt;47,$A22*'CALC-INPUTS'!$C$3+'CALC-INPUTS'!$D$3,IF($A22&lt;50,'CALC-INPUTS'!$B$3,NA()))))),NA()),NA()))</f>
        <v>#VALUE!</v>
      </c>
      <c r="M22" s="63" t="e">
        <f>IF('HVAC sizing letter'!$C$14="No",NA(),IF(A22&gt;-8,IF(E22="YES",D22,NA()),NA()))</f>
        <v>#VALUE!</v>
      </c>
      <c r="N22" s="63" t="e">
        <f t="shared" si="4"/>
        <v>#VALUE!</v>
      </c>
    </row>
    <row r="23" spans="1:14" x14ac:dyDescent="0.25">
      <c r="A23" s="37">
        <v>22</v>
      </c>
      <c r="B23" s="37">
        <v>165</v>
      </c>
      <c r="C23" s="46">
        <f>IF(ISBLANK('HVAC sizing letter'!$C$25),IF($A23&lt;17,0,IF($A23&lt;47,$A23*'CALC-INPUTS'!$C$3+'CALC-INPUTS'!$D$3,IF($A23&lt;50,'CALC-INPUTS'!$B$3,0))),IF($A23&lt;5,0,IF($A23&lt;17,$A23*'CALC-INPUTS'!$C$4+'CALC-INPUTS'!$D$4,IF($A23&lt;47,$A23*'CALC-INPUTS'!$C$3+'CALC-INPUTS'!$D$3,IF($A23&lt;50,'CALC-INPUTS'!$B$3,0)))))</f>
        <v>0</v>
      </c>
      <c r="D23" s="46" t="e">
        <f>+(IF(A23&lt;=50,A!$G$45*(1-((A23-(-9))/(50-(-9)))),IF(AND(A23&gt;50,A23&lt;70),0,A!$G$46*(1-((88-A23)/(88-70))))))</f>
        <v>#VALUE!</v>
      </c>
      <c r="E23" s="46" t="e">
        <f t="shared" si="0"/>
        <v>#VALUE!</v>
      </c>
      <c r="F23" s="46" t="e">
        <f t="shared" si="1"/>
        <v>#VALUE!</v>
      </c>
      <c r="G23" s="46" t="e">
        <f t="shared" si="2"/>
        <v>#VALUE!</v>
      </c>
      <c r="H23" s="46" t="e">
        <f t="shared" si="3"/>
        <v>#VALUE!</v>
      </c>
      <c r="I23" s="46">
        <f>IF(ISBLANK('HVAC sizing letter'!$C$25),IF($A23&lt;17,NA(),IF($A23&lt;47,$A23*'CALC-INPUTS'!$C$3+'CALC-INPUTS'!$D$3,IF($A23&lt;50,'CALC-INPUTS'!$B$3,NA()))),IF($A23&lt;5,NA(),IF($A23&lt;17,$A23*'CALC-INPUTS'!$C$4+'CALC-INPUTS'!$D$4,IF($A23&lt;47,$A23*'CALC-INPUTS'!$C$3+'CALC-INPUTS'!$D$3,IF($A23&lt;50,'CALC-INPUTS'!$B$3,NA())))))</f>
        <v>0</v>
      </c>
      <c r="J23" s="46" t="e">
        <f>+IF(A23&lt;=50,A!$G$45*(1-((A23-(-9))/(50-(-9)))),NA())</f>
        <v>#VALUE!</v>
      </c>
      <c r="K23" s="46" t="e">
        <f>+(IF(A23&gt;=70,A!$G$46*(1-((88-A23)/(88-70))),NA()))</f>
        <v>#N/A</v>
      </c>
      <c r="L23" s="63" t="e">
        <f>++IF('HVAC sizing letter'!$C$14="No",NA(),IF(A23&gt;-8,IF(E23="YES",IF(ISBLANK('HVAC sizing letter'!$C$25),IF($A23&lt;17,0,IF($A23&lt;47,$A23*'CALC-INPUTS'!$C$3+'CALC-INPUTS'!$D$3,IF($A23&lt;50,'CALC-INPUTS'!$B$3,NA()))),IF($A23&lt;5,0,IF($A23&lt;17,$A23*'CALC-INPUTS'!$C$4+'CALC-INPUTS'!$D$4,IF($A23&lt;47,$A23*'CALC-INPUTS'!$C$3+'CALC-INPUTS'!$D$3,IF($A23&lt;50,'CALC-INPUTS'!$B$3,NA()))))),NA()),NA()))</f>
        <v>#VALUE!</v>
      </c>
      <c r="M23" s="63" t="e">
        <f>IF('HVAC sizing letter'!$C$14="No",NA(),IF(A23&gt;-8,IF(E23="YES",D23,NA()),NA()))</f>
        <v>#VALUE!</v>
      </c>
      <c r="N23" s="63" t="e">
        <f t="shared" si="4"/>
        <v>#VALUE!</v>
      </c>
    </row>
    <row r="24" spans="1:14" x14ac:dyDescent="0.25">
      <c r="A24" s="37">
        <v>24</v>
      </c>
      <c r="B24" s="37">
        <v>107</v>
      </c>
      <c r="C24" s="46">
        <f>IF(ISBLANK('HVAC sizing letter'!$C$25),IF($A24&lt;17,0,IF($A24&lt;47,$A24*'CALC-INPUTS'!$C$3+'CALC-INPUTS'!$D$3,IF($A24&lt;50,'CALC-INPUTS'!$B$3,0))),IF($A24&lt;5,0,IF($A24&lt;17,$A24*'CALC-INPUTS'!$C$4+'CALC-INPUTS'!$D$4,IF($A24&lt;47,$A24*'CALC-INPUTS'!$C$3+'CALC-INPUTS'!$D$3,IF($A24&lt;50,'CALC-INPUTS'!$B$3,0)))))</f>
        <v>0</v>
      </c>
      <c r="D24" s="46" t="e">
        <f>+(IF(A24&lt;=50,A!$G$45*(1-((A24-(-9))/(50-(-9)))),IF(AND(A24&gt;50,A24&lt;70),0,A!$G$46*(1-((88-A24)/(88-70))))))</f>
        <v>#VALUE!</v>
      </c>
      <c r="E24" s="46" t="e">
        <f t="shared" si="0"/>
        <v>#VALUE!</v>
      </c>
      <c r="F24" s="46" t="e">
        <f t="shared" si="1"/>
        <v>#VALUE!</v>
      </c>
      <c r="G24" s="46" t="e">
        <f t="shared" si="2"/>
        <v>#VALUE!</v>
      </c>
      <c r="H24" s="46" t="e">
        <f t="shared" si="3"/>
        <v>#VALUE!</v>
      </c>
      <c r="I24" s="46">
        <f>IF(ISBLANK('HVAC sizing letter'!$C$25),IF($A24&lt;17,NA(),IF($A24&lt;47,$A24*'CALC-INPUTS'!$C$3+'CALC-INPUTS'!$D$3,IF($A24&lt;50,'CALC-INPUTS'!$B$3,NA()))),IF($A24&lt;5,NA(),IF($A24&lt;17,$A24*'CALC-INPUTS'!$C$4+'CALC-INPUTS'!$D$4,IF($A24&lt;47,$A24*'CALC-INPUTS'!$C$3+'CALC-INPUTS'!$D$3,IF($A24&lt;50,'CALC-INPUTS'!$B$3,NA())))))</f>
        <v>0</v>
      </c>
      <c r="J24" s="46" t="e">
        <f>+IF(A24&lt;=50,A!$G$45*(1-((A24-(-9))/(50-(-9)))),NA())</f>
        <v>#VALUE!</v>
      </c>
      <c r="K24" s="46" t="e">
        <f>+(IF(A24&gt;=70,A!$G$46*(1-((88-A24)/(88-70))),NA()))</f>
        <v>#N/A</v>
      </c>
      <c r="L24" s="63" t="e">
        <f>++IF('HVAC sizing letter'!$C$14="No",NA(),IF(A24&gt;-8,IF(E24="YES",IF(ISBLANK('HVAC sizing letter'!$C$25),IF($A24&lt;17,0,IF($A24&lt;47,$A24*'CALC-INPUTS'!$C$3+'CALC-INPUTS'!$D$3,IF($A24&lt;50,'CALC-INPUTS'!$B$3,NA()))),IF($A24&lt;5,0,IF($A24&lt;17,$A24*'CALC-INPUTS'!$C$4+'CALC-INPUTS'!$D$4,IF($A24&lt;47,$A24*'CALC-INPUTS'!$C$3+'CALC-INPUTS'!$D$3,IF($A24&lt;50,'CALC-INPUTS'!$B$3,NA()))))),NA()),NA()))</f>
        <v>#VALUE!</v>
      </c>
      <c r="M24" s="63" t="e">
        <f>IF('HVAC sizing letter'!$C$14="No",NA(),IF(A24&gt;-8,IF(E24="YES",D24,NA()),NA()))</f>
        <v>#VALUE!</v>
      </c>
      <c r="N24" s="63" t="e">
        <f t="shared" si="4"/>
        <v>#VALUE!</v>
      </c>
    </row>
    <row r="25" spans="1:14" x14ac:dyDescent="0.25">
      <c r="A25" s="37">
        <v>26</v>
      </c>
      <c r="B25" s="37">
        <v>233</v>
      </c>
      <c r="C25" s="46">
        <f>IF(ISBLANK('HVAC sizing letter'!$C$25),IF($A25&lt;17,0,IF($A25&lt;47,$A25*'CALC-INPUTS'!$C$3+'CALC-INPUTS'!$D$3,IF($A25&lt;50,'CALC-INPUTS'!$B$3,0))),IF($A25&lt;5,0,IF($A25&lt;17,$A25*'CALC-INPUTS'!$C$4+'CALC-INPUTS'!$D$4,IF($A25&lt;47,$A25*'CALC-INPUTS'!$C$3+'CALC-INPUTS'!$D$3,IF($A25&lt;50,'CALC-INPUTS'!$B$3,0)))))</f>
        <v>0</v>
      </c>
      <c r="D25" s="46" t="e">
        <f>+(IF(A25&lt;=50,A!$G$45*(1-((A25-(-9))/(50-(-9)))),IF(AND(A25&gt;50,A25&lt;70),0,A!$G$46*(1-((88-A25)/(88-70))))))</f>
        <v>#VALUE!</v>
      </c>
      <c r="E25" s="46" t="e">
        <f t="shared" si="0"/>
        <v>#VALUE!</v>
      </c>
      <c r="F25" s="46" t="e">
        <f t="shared" si="1"/>
        <v>#VALUE!</v>
      </c>
      <c r="G25" s="46" t="e">
        <f t="shared" si="2"/>
        <v>#VALUE!</v>
      </c>
      <c r="H25" s="46" t="e">
        <f t="shared" si="3"/>
        <v>#VALUE!</v>
      </c>
      <c r="I25" s="46">
        <f>IF(ISBLANK('HVAC sizing letter'!$C$25),IF($A25&lt;17,NA(),IF($A25&lt;47,$A25*'CALC-INPUTS'!$C$3+'CALC-INPUTS'!$D$3,IF($A25&lt;50,'CALC-INPUTS'!$B$3,NA()))),IF($A25&lt;5,NA(),IF($A25&lt;17,$A25*'CALC-INPUTS'!$C$4+'CALC-INPUTS'!$D$4,IF($A25&lt;47,$A25*'CALC-INPUTS'!$C$3+'CALC-INPUTS'!$D$3,IF($A25&lt;50,'CALC-INPUTS'!$B$3,NA())))))</f>
        <v>0</v>
      </c>
      <c r="J25" s="46" t="e">
        <f>+IF(A25&lt;=50,A!$G$45*(1-((A25-(-9))/(50-(-9)))),NA())</f>
        <v>#VALUE!</v>
      </c>
      <c r="K25" s="46" t="e">
        <f>+(IF(A25&gt;=70,A!$G$46*(1-((88-A25)/(88-70))),NA()))</f>
        <v>#N/A</v>
      </c>
      <c r="L25" s="63" t="e">
        <f>++IF('HVAC sizing letter'!$C$14="No",NA(),IF(A25&gt;-8,IF(E25="YES",IF(ISBLANK('HVAC sizing letter'!$C$25),IF($A25&lt;17,0,IF($A25&lt;47,$A25*'CALC-INPUTS'!$C$3+'CALC-INPUTS'!$D$3,IF($A25&lt;50,'CALC-INPUTS'!$B$3,NA()))),IF($A25&lt;5,0,IF($A25&lt;17,$A25*'CALC-INPUTS'!$C$4+'CALC-INPUTS'!$D$4,IF($A25&lt;47,$A25*'CALC-INPUTS'!$C$3+'CALC-INPUTS'!$D$3,IF($A25&lt;50,'CALC-INPUTS'!$B$3,NA()))))),NA()),NA()))</f>
        <v>#VALUE!</v>
      </c>
      <c r="M25" s="63" t="e">
        <f>IF('HVAC sizing letter'!$C$14="No",NA(),IF(A25&gt;-8,IF(E25="YES",D25,NA()),NA()))</f>
        <v>#VALUE!</v>
      </c>
      <c r="N25" s="63" t="e">
        <f t="shared" si="4"/>
        <v>#VALUE!</v>
      </c>
    </row>
    <row r="26" spans="1:14" x14ac:dyDescent="0.25">
      <c r="A26" s="37">
        <v>28</v>
      </c>
      <c r="B26" s="37">
        <v>235</v>
      </c>
      <c r="C26" s="46">
        <f>IF(ISBLANK('HVAC sizing letter'!$C$25),IF($A26&lt;17,0,IF($A26&lt;47,$A26*'CALC-INPUTS'!$C$3+'CALC-INPUTS'!$D$3,IF($A26&lt;50,'CALC-INPUTS'!$B$3,0))),IF($A26&lt;5,0,IF($A26&lt;17,$A26*'CALC-INPUTS'!$C$4+'CALC-INPUTS'!$D$4,IF($A26&lt;47,$A26*'CALC-INPUTS'!$C$3+'CALC-INPUTS'!$D$3,IF($A26&lt;50,'CALC-INPUTS'!$B$3,0)))))</f>
        <v>0</v>
      </c>
      <c r="D26" s="46" t="e">
        <f>+(IF(A26&lt;=50,A!$G$45*(1-((A26-(-9))/(50-(-9)))),IF(AND(A26&gt;50,A26&lt;70),0,A!$G$46*(1-((88-A26)/(88-70))))))</f>
        <v>#VALUE!</v>
      </c>
      <c r="E26" s="46" t="e">
        <f t="shared" si="0"/>
        <v>#VALUE!</v>
      </c>
      <c r="F26" s="46" t="e">
        <f t="shared" si="1"/>
        <v>#VALUE!</v>
      </c>
      <c r="G26" s="46" t="e">
        <f t="shared" si="2"/>
        <v>#VALUE!</v>
      </c>
      <c r="H26" s="46" t="e">
        <f t="shared" si="3"/>
        <v>#VALUE!</v>
      </c>
      <c r="I26" s="46">
        <f>IF(ISBLANK('HVAC sizing letter'!$C$25),IF($A26&lt;17,NA(),IF($A26&lt;47,$A26*'CALC-INPUTS'!$C$3+'CALC-INPUTS'!$D$3,IF($A26&lt;50,'CALC-INPUTS'!$B$3,NA()))),IF($A26&lt;5,NA(),IF($A26&lt;17,$A26*'CALC-INPUTS'!$C$4+'CALC-INPUTS'!$D$4,IF($A26&lt;47,$A26*'CALC-INPUTS'!$C$3+'CALC-INPUTS'!$D$3,IF($A26&lt;50,'CALC-INPUTS'!$B$3,NA())))))</f>
        <v>0</v>
      </c>
      <c r="J26" s="46" t="e">
        <f>+IF(A26&lt;=50,A!$G$45*(1-((A26-(-9))/(50-(-9)))),NA())</f>
        <v>#VALUE!</v>
      </c>
      <c r="K26" s="46" t="e">
        <f>+(IF(A26&gt;=70,A!$G$46*(1-((88-A26)/(88-70))),NA()))</f>
        <v>#N/A</v>
      </c>
      <c r="L26" s="63" t="e">
        <f>++IF('HVAC sizing letter'!$C$14="No",NA(),IF(A26&gt;-8,IF(E26="YES",IF(ISBLANK('HVAC sizing letter'!$C$25),IF($A26&lt;17,0,IF($A26&lt;47,$A26*'CALC-INPUTS'!$C$3+'CALC-INPUTS'!$D$3,IF($A26&lt;50,'CALC-INPUTS'!$B$3,NA()))),IF($A26&lt;5,0,IF($A26&lt;17,$A26*'CALC-INPUTS'!$C$4+'CALC-INPUTS'!$D$4,IF($A26&lt;47,$A26*'CALC-INPUTS'!$C$3+'CALC-INPUTS'!$D$3,IF($A26&lt;50,'CALC-INPUTS'!$B$3,NA()))))),NA()),NA()))</f>
        <v>#VALUE!</v>
      </c>
      <c r="M26" s="63" t="e">
        <f>IF('HVAC sizing letter'!$C$14="No",NA(),IF(A26&gt;-8,IF(E26="YES",D26,NA()),NA()))</f>
        <v>#VALUE!</v>
      </c>
      <c r="N26" s="63" t="e">
        <f t="shared" si="4"/>
        <v>#VALUE!</v>
      </c>
    </row>
    <row r="27" spans="1:14" x14ac:dyDescent="0.25">
      <c r="A27" s="37">
        <v>30</v>
      </c>
      <c r="B27" s="37">
        <v>224</v>
      </c>
      <c r="C27" s="46">
        <f>IF(ISBLANK('HVAC sizing letter'!$C$25),IF($A27&lt;17,0,IF($A27&lt;47,$A27*'CALC-INPUTS'!$C$3+'CALC-INPUTS'!$D$3,IF($A27&lt;50,'CALC-INPUTS'!$B$3,0))),IF($A27&lt;5,0,IF($A27&lt;17,$A27*'CALC-INPUTS'!$C$4+'CALC-INPUTS'!$D$4,IF($A27&lt;47,$A27*'CALC-INPUTS'!$C$3+'CALC-INPUTS'!$D$3,IF($A27&lt;50,'CALC-INPUTS'!$B$3,0)))))</f>
        <v>0</v>
      </c>
      <c r="D27" s="46" t="e">
        <f>+(IF(A27&lt;=50,A!$G$45*(1-((A27-(-9))/(50-(-9)))),IF(AND(A27&gt;50,A27&lt;70),0,A!$G$46*(1-((88-A27)/(88-70))))))</f>
        <v>#VALUE!</v>
      </c>
      <c r="E27" s="46" t="e">
        <f t="shared" si="0"/>
        <v>#VALUE!</v>
      </c>
      <c r="F27" s="46" t="e">
        <f t="shared" si="1"/>
        <v>#VALUE!</v>
      </c>
      <c r="G27" s="46" t="e">
        <f t="shared" si="2"/>
        <v>#VALUE!</v>
      </c>
      <c r="H27" s="46" t="e">
        <f t="shared" si="3"/>
        <v>#VALUE!</v>
      </c>
      <c r="I27" s="46">
        <f>IF(ISBLANK('HVAC sizing letter'!$C$25),IF($A27&lt;17,NA(),IF($A27&lt;47,$A27*'CALC-INPUTS'!$C$3+'CALC-INPUTS'!$D$3,IF($A27&lt;50,'CALC-INPUTS'!$B$3,NA()))),IF($A27&lt;5,NA(),IF($A27&lt;17,$A27*'CALC-INPUTS'!$C$4+'CALC-INPUTS'!$D$4,IF($A27&lt;47,$A27*'CALC-INPUTS'!$C$3+'CALC-INPUTS'!$D$3,IF($A27&lt;50,'CALC-INPUTS'!$B$3,NA())))))</f>
        <v>0</v>
      </c>
      <c r="J27" s="46" t="e">
        <f>+IF(A27&lt;=50,A!$G$45*(1-((A27-(-9))/(50-(-9)))),NA())</f>
        <v>#VALUE!</v>
      </c>
      <c r="K27" s="46" t="e">
        <f>+(IF(A27&gt;=70,A!$G$46*(1-((88-A27)/(88-70))),NA()))</f>
        <v>#N/A</v>
      </c>
      <c r="L27" s="63" t="e">
        <f>++IF('HVAC sizing letter'!$C$14="No",NA(),IF(A27&gt;-8,IF(E27="YES",IF(ISBLANK('HVAC sizing letter'!$C$25),IF($A27&lt;17,0,IF($A27&lt;47,$A27*'CALC-INPUTS'!$C$3+'CALC-INPUTS'!$D$3,IF($A27&lt;50,'CALC-INPUTS'!$B$3,NA()))),IF($A27&lt;5,0,IF($A27&lt;17,$A27*'CALC-INPUTS'!$C$4+'CALC-INPUTS'!$D$4,IF($A27&lt;47,$A27*'CALC-INPUTS'!$C$3+'CALC-INPUTS'!$D$3,IF($A27&lt;50,'CALC-INPUTS'!$B$3,NA()))))),NA()),NA()))</f>
        <v>#VALUE!</v>
      </c>
      <c r="M27" s="63" t="e">
        <f>IF('HVAC sizing letter'!$C$14="No",NA(),IF(A27&gt;-8,IF(E27="YES",D27,NA()),NA()))</f>
        <v>#VALUE!</v>
      </c>
      <c r="N27" s="63" t="e">
        <f t="shared" si="4"/>
        <v>#VALUE!</v>
      </c>
    </row>
    <row r="28" spans="1:14" x14ac:dyDescent="0.25">
      <c r="A28" s="37">
        <v>32</v>
      </c>
      <c r="B28" s="37">
        <v>280</v>
      </c>
      <c r="C28" s="46">
        <f>IF(ISBLANK('HVAC sizing letter'!$C$25),IF($A28&lt;17,0,IF($A28&lt;47,$A28*'CALC-INPUTS'!$C$3+'CALC-INPUTS'!$D$3,IF($A28&lt;50,'CALC-INPUTS'!$B$3,0))),IF($A28&lt;5,0,IF($A28&lt;17,$A28*'CALC-INPUTS'!$C$4+'CALC-INPUTS'!$D$4,IF($A28&lt;47,$A28*'CALC-INPUTS'!$C$3+'CALC-INPUTS'!$D$3,IF($A28&lt;50,'CALC-INPUTS'!$B$3,0)))))</f>
        <v>0</v>
      </c>
      <c r="D28" s="46" t="e">
        <f>+(IF(A28&lt;=50,A!$G$45*(1-((A28-(-9))/(50-(-9)))),IF(AND(A28&gt;50,A28&lt;70),0,A!$G$46*(1-((88-A28)/(88-70))))))</f>
        <v>#VALUE!</v>
      </c>
      <c r="E28" s="46" t="e">
        <f t="shared" si="0"/>
        <v>#VALUE!</v>
      </c>
      <c r="F28" s="46" t="e">
        <f t="shared" si="1"/>
        <v>#VALUE!</v>
      </c>
      <c r="G28" s="46" t="e">
        <f t="shared" si="2"/>
        <v>#VALUE!</v>
      </c>
      <c r="H28" s="46" t="e">
        <f t="shared" si="3"/>
        <v>#VALUE!</v>
      </c>
      <c r="I28" s="46">
        <f>IF(ISBLANK('HVAC sizing letter'!$C$25),IF($A28&lt;17,NA(),IF($A28&lt;47,$A28*'CALC-INPUTS'!$C$3+'CALC-INPUTS'!$D$3,IF($A28&lt;50,'CALC-INPUTS'!$B$3,NA()))),IF($A28&lt;5,NA(),IF($A28&lt;17,$A28*'CALC-INPUTS'!$C$4+'CALC-INPUTS'!$D$4,IF($A28&lt;47,$A28*'CALC-INPUTS'!$C$3+'CALC-INPUTS'!$D$3,IF($A28&lt;50,'CALC-INPUTS'!$B$3,NA())))))</f>
        <v>0</v>
      </c>
      <c r="J28" s="46" t="e">
        <f>+IF(A28&lt;=50,A!$G$45*(1-((A28-(-9))/(50-(-9)))),NA())</f>
        <v>#VALUE!</v>
      </c>
      <c r="K28" s="46" t="e">
        <f>+(IF(A28&gt;=70,A!$G$46*(1-((88-A28)/(88-70))),NA()))</f>
        <v>#N/A</v>
      </c>
      <c r="L28" s="63" t="e">
        <f>++IF('HVAC sizing letter'!$C$14="No",NA(),IF(A28&gt;-8,IF(E28="YES",IF(ISBLANK('HVAC sizing letter'!$C$25),IF($A28&lt;17,0,IF($A28&lt;47,$A28*'CALC-INPUTS'!$C$3+'CALC-INPUTS'!$D$3,IF($A28&lt;50,'CALC-INPUTS'!$B$3,NA()))),IF($A28&lt;5,0,IF($A28&lt;17,$A28*'CALC-INPUTS'!$C$4+'CALC-INPUTS'!$D$4,IF($A28&lt;47,$A28*'CALC-INPUTS'!$C$3+'CALC-INPUTS'!$D$3,IF($A28&lt;50,'CALC-INPUTS'!$B$3,NA()))))),NA()),NA()))</f>
        <v>#VALUE!</v>
      </c>
      <c r="M28" s="63" t="e">
        <f>IF('HVAC sizing letter'!$C$14="No",NA(),IF(A28&gt;-8,IF(E28="YES",D28,NA()),NA()))</f>
        <v>#VALUE!</v>
      </c>
      <c r="N28" s="63" t="e">
        <f t="shared" si="4"/>
        <v>#VALUE!</v>
      </c>
    </row>
    <row r="29" spans="1:14" x14ac:dyDescent="0.25">
      <c r="A29" s="37">
        <v>34</v>
      </c>
      <c r="B29" s="37">
        <v>409</v>
      </c>
      <c r="C29" s="46">
        <f>IF(ISBLANK('HVAC sizing letter'!$C$25),IF($A29&lt;17,0,IF($A29&lt;47,$A29*'CALC-INPUTS'!$C$3+'CALC-INPUTS'!$D$3,IF($A29&lt;50,'CALC-INPUTS'!$B$3,0))),IF($A29&lt;5,0,IF($A29&lt;17,$A29*'CALC-INPUTS'!$C$4+'CALC-INPUTS'!$D$4,IF($A29&lt;47,$A29*'CALC-INPUTS'!$C$3+'CALC-INPUTS'!$D$3,IF($A29&lt;50,'CALC-INPUTS'!$B$3,0)))))</f>
        <v>0</v>
      </c>
      <c r="D29" s="46" t="e">
        <f>+(IF(A29&lt;=50,A!$G$45*(1-((A29-(-9))/(50-(-9)))),IF(AND(A29&gt;50,A29&lt;70),0,A!$G$46*(1-((88-A29)/(88-70))))))</f>
        <v>#VALUE!</v>
      </c>
      <c r="E29" s="46" t="e">
        <f t="shared" si="0"/>
        <v>#VALUE!</v>
      </c>
      <c r="F29" s="46" t="e">
        <f t="shared" si="1"/>
        <v>#VALUE!</v>
      </c>
      <c r="G29" s="46" t="e">
        <f t="shared" si="2"/>
        <v>#VALUE!</v>
      </c>
      <c r="H29" s="46" t="e">
        <f t="shared" si="3"/>
        <v>#VALUE!</v>
      </c>
      <c r="I29" s="46">
        <f>IF(ISBLANK('HVAC sizing letter'!$C$25),IF($A29&lt;17,NA(),IF($A29&lt;47,$A29*'CALC-INPUTS'!$C$3+'CALC-INPUTS'!$D$3,IF($A29&lt;50,'CALC-INPUTS'!$B$3,NA()))),IF($A29&lt;5,NA(),IF($A29&lt;17,$A29*'CALC-INPUTS'!$C$4+'CALC-INPUTS'!$D$4,IF($A29&lt;47,$A29*'CALC-INPUTS'!$C$3+'CALC-INPUTS'!$D$3,IF($A29&lt;50,'CALC-INPUTS'!$B$3,NA())))))</f>
        <v>0</v>
      </c>
      <c r="J29" s="46" t="e">
        <f>+IF(A29&lt;=50,A!$G$45*(1-((A29-(-9))/(50-(-9)))),NA())</f>
        <v>#VALUE!</v>
      </c>
      <c r="K29" s="46" t="e">
        <f>+(IF(A29&gt;=70,A!$G$46*(1-((88-A29)/(88-70))),NA()))</f>
        <v>#N/A</v>
      </c>
      <c r="L29" s="63" t="e">
        <f>++IF('HVAC sizing letter'!$C$14="No",NA(),IF(A29&gt;-8,IF(E29="YES",IF(ISBLANK('HVAC sizing letter'!$C$25),IF($A29&lt;17,0,IF($A29&lt;47,$A29*'CALC-INPUTS'!$C$3+'CALC-INPUTS'!$D$3,IF($A29&lt;50,'CALC-INPUTS'!$B$3,NA()))),IF($A29&lt;5,0,IF($A29&lt;17,$A29*'CALC-INPUTS'!$C$4+'CALC-INPUTS'!$D$4,IF($A29&lt;47,$A29*'CALC-INPUTS'!$C$3+'CALC-INPUTS'!$D$3,IF($A29&lt;50,'CALC-INPUTS'!$B$3,NA()))))),NA()),NA()))</f>
        <v>#VALUE!</v>
      </c>
      <c r="M29" s="63" t="e">
        <f>IF('HVAC sizing letter'!$C$14="No",NA(),IF(A29&gt;-8,IF(E29="YES",D29,NA()),NA()))</f>
        <v>#VALUE!</v>
      </c>
      <c r="N29" s="63" t="e">
        <f t="shared" si="4"/>
        <v>#VALUE!</v>
      </c>
    </row>
    <row r="30" spans="1:14" x14ac:dyDescent="0.25">
      <c r="A30" s="37">
        <v>36</v>
      </c>
      <c r="B30" s="37">
        <v>246</v>
      </c>
      <c r="C30" s="46">
        <f>IF(ISBLANK('HVAC sizing letter'!$C$25),IF($A30&lt;17,0,IF($A30&lt;47,$A30*'CALC-INPUTS'!$C$3+'CALC-INPUTS'!$D$3,IF($A30&lt;50,'CALC-INPUTS'!$B$3,0))),IF($A30&lt;5,0,IF($A30&lt;17,$A30*'CALC-INPUTS'!$C$4+'CALC-INPUTS'!$D$4,IF($A30&lt;47,$A30*'CALC-INPUTS'!$C$3+'CALC-INPUTS'!$D$3,IF($A30&lt;50,'CALC-INPUTS'!$B$3,0)))))</f>
        <v>0</v>
      </c>
      <c r="D30" s="46" t="e">
        <f>+(IF(A30&lt;=50,A!$G$45*(1-((A30-(-9))/(50-(-9)))),IF(AND(A30&gt;50,A30&lt;70),0,A!$G$46*(1-((88-A30)/(88-70))))))</f>
        <v>#VALUE!</v>
      </c>
      <c r="E30" s="46" t="e">
        <f t="shared" si="0"/>
        <v>#VALUE!</v>
      </c>
      <c r="F30" s="46" t="e">
        <f t="shared" si="1"/>
        <v>#VALUE!</v>
      </c>
      <c r="G30" s="46" t="e">
        <f t="shared" si="2"/>
        <v>#VALUE!</v>
      </c>
      <c r="H30" s="46" t="e">
        <f t="shared" si="3"/>
        <v>#VALUE!</v>
      </c>
      <c r="I30" s="46">
        <f>IF(ISBLANK('HVAC sizing letter'!$C$25),IF($A30&lt;17,NA(),IF($A30&lt;47,$A30*'CALC-INPUTS'!$C$3+'CALC-INPUTS'!$D$3,IF($A30&lt;50,'CALC-INPUTS'!$B$3,NA()))),IF($A30&lt;5,NA(),IF($A30&lt;17,$A30*'CALC-INPUTS'!$C$4+'CALC-INPUTS'!$D$4,IF($A30&lt;47,$A30*'CALC-INPUTS'!$C$3+'CALC-INPUTS'!$D$3,IF($A30&lt;50,'CALC-INPUTS'!$B$3,NA())))))</f>
        <v>0</v>
      </c>
      <c r="J30" s="46" t="e">
        <f>+IF(A30&lt;=50,A!$G$45*(1-((A30-(-9))/(50-(-9)))),NA())</f>
        <v>#VALUE!</v>
      </c>
      <c r="K30" s="46" t="e">
        <f>+(IF(A30&gt;=70,A!$G$46*(1-((88-A30)/(88-70))),NA()))</f>
        <v>#N/A</v>
      </c>
      <c r="L30" s="63" t="e">
        <f>++IF('HVAC sizing letter'!$C$14="No",NA(),IF(A30&gt;-8,IF(E30="YES",IF(ISBLANK('HVAC sizing letter'!$C$25),IF($A30&lt;17,0,IF($A30&lt;47,$A30*'CALC-INPUTS'!$C$3+'CALC-INPUTS'!$D$3,IF($A30&lt;50,'CALC-INPUTS'!$B$3,NA()))),IF($A30&lt;5,0,IF($A30&lt;17,$A30*'CALC-INPUTS'!$C$4+'CALC-INPUTS'!$D$4,IF($A30&lt;47,$A30*'CALC-INPUTS'!$C$3+'CALC-INPUTS'!$D$3,IF($A30&lt;50,'CALC-INPUTS'!$B$3,NA()))))),NA()),NA()))</f>
        <v>#VALUE!</v>
      </c>
      <c r="M30" s="63" t="e">
        <f>IF('HVAC sizing letter'!$C$14="No",NA(),IF(A30&gt;-8,IF(E30="YES",D30,NA()),NA()))</f>
        <v>#VALUE!</v>
      </c>
      <c r="N30" s="63" t="e">
        <f t="shared" si="4"/>
        <v>#VALUE!</v>
      </c>
    </row>
    <row r="31" spans="1:14" x14ac:dyDescent="0.25">
      <c r="A31" s="37">
        <v>38</v>
      </c>
      <c r="B31" s="37">
        <v>255</v>
      </c>
      <c r="C31" s="46">
        <f>IF(ISBLANK('HVAC sizing letter'!$C$25),IF($A31&lt;17,0,IF($A31&lt;47,$A31*'CALC-INPUTS'!$C$3+'CALC-INPUTS'!$D$3,IF($A31&lt;50,'CALC-INPUTS'!$B$3,0))),IF($A31&lt;5,0,IF($A31&lt;17,$A31*'CALC-INPUTS'!$C$4+'CALC-INPUTS'!$D$4,IF($A31&lt;47,$A31*'CALC-INPUTS'!$C$3+'CALC-INPUTS'!$D$3,IF($A31&lt;50,'CALC-INPUTS'!$B$3,0)))))</f>
        <v>0</v>
      </c>
      <c r="D31" s="46" t="e">
        <f>+(IF(A31&lt;=50,A!$G$45*(1-((A31-(-9))/(50-(-9)))),IF(AND(A31&gt;50,A31&lt;70),0,A!$G$46*(1-((88-A31)/(88-70))))))</f>
        <v>#VALUE!</v>
      </c>
      <c r="E31" s="46" t="e">
        <f t="shared" si="0"/>
        <v>#VALUE!</v>
      </c>
      <c r="F31" s="46" t="e">
        <f t="shared" si="1"/>
        <v>#VALUE!</v>
      </c>
      <c r="G31" s="46" t="e">
        <f t="shared" si="2"/>
        <v>#VALUE!</v>
      </c>
      <c r="H31" s="46" t="e">
        <f t="shared" si="3"/>
        <v>#VALUE!</v>
      </c>
      <c r="I31" s="46">
        <f>IF(ISBLANK('HVAC sizing letter'!$C$25),IF($A31&lt;17,NA(),IF($A31&lt;47,$A31*'CALC-INPUTS'!$C$3+'CALC-INPUTS'!$D$3,IF($A31&lt;50,'CALC-INPUTS'!$B$3,NA()))),IF($A31&lt;5,NA(),IF($A31&lt;17,$A31*'CALC-INPUTS'!$C$4+'CALC-INPUTS'!$D$4,IF($A31&lt;47,$A31*'CALC-INPUTS'!$C$3+'CALC-INPUTS'!$D$3,IF($A31&lt;50,'CALC-INPUTS'!$B$3,NA())))))</f>
        <v>0</v>
      </c>
      <c r="J31" s="46" t="e">
        <f>+IF(A31&lt;=50,A!$G$45*(1-((A31-(-9))/(50-(-9)))),NA())</f>
        <v>#VALUE!</v>
      </c>
      <c r="K31" s="46" t="e">
        <f>+(IF(A31&gt;=70,A!$G$46*(1-((88-A31)/(88-70))),NA()))</f>
        <v>#N/A</v>
      </c>
      <c r="L31" s="63" t="e">
        <f>++IF('HVAC sizing letter'!$C$14="No",NA(),IF(A31&gt;-8,IF(E31="YES",IF(ISBLANK('HVAC sizing letter'!$C$25),IF($A31&lt;17,0,IF($A31&lt;47,$A31*'CALC-INPUTS'!$C$3+'CALC-INPUTS'!$D$3,IF($A31&lt;50,'CALC-INPUTS'!$B$3,NA()))),IF($A31&lt;5,0,IF($A31&lt;17,$A31*'CALC-INPUTS'!$C$4+'CALC-INPUTS'!$D$4,IF($A31&lt;47,$A31*'CALC-INPUTS'!$C$3+'CALC-INPUTS'!$D$3,IF($A31&lt;50,'CALC-INPUTS'!$B$3,NA()))))),NA()),NA()))</f>
        <v>#VALUE!</v>
      </c>
      <c r="M31" s="63" t="e">
        <f>IF('HVAC sizing letter'!$C$14="No",NA(),IF(A31&gt;-8,IF(E31="YES",D31,NA()),NA()))</f>
        <v>#VALUE!</v>
      </c>
      <c r="N31" s="63" t="e">
        <f t="shared" si="4"/>
        <v>#VALUE!</v>
      </c>
    </row>
    <row r="32" spans="1:14" x14ac:dyDescent="0.25">
      <c r="A32" s="37">
        <v>40</v>
      </c>
      <c r="B32" s="37">
        <v>204</v>
      </c>
      <c r="C32" s="46">
        <f>IF(ISBLANK('HVAC sizing letter'!$C$25),IF($A32&lt;17,0,IF($A32&lt;47,$A32*'CALC-INPUTS'!$C$3+'CALC-INPUTS'!$D$3,IF($A32&lt;50,'CALC-INPUTS'!$B$3,0))),IF($A32&lt;5,0,IF($A32&lt;17,$A32*'CALC-INPUTS'!$C$4+'CALC-INPUTS'!$D$4,IF($A32&lt;47,$A32*'CALC-INPUTS'!$C$3+'CALC-INPUTS'!$D$3,IF($A32&lt;50,'CALC-INPUTS'!$B$3,0)))))</f>
        <v>0</v>
      </c>
      <c r="D32" s="46" t="e">
        <f>+(IF(A32&lt;=50,A!$G$45*(1-((A32-(-9))/(50-(-9)))),IF(AND(A32&gt;50,A32&lt;70),0,A!$G$46*(1-((88-A32)/(88-70))))))</f>
        <v>#VALUE!</v>
      </c>
      <c r="E32" s="46" t="e">
        <f t="shared" si="0"/>
        <v>#VALUE!</v>
      </c>
      <c r="F32" s="46" t="e">
        <f t="shared" si="1"/>
        <v>#VALUE!</v>
      </c>
      <c r="G32" s="46" t="e">
        <f t="shared" si="2"/>
        <v>#VALUE!</v>
      </c>
      <c r="H32" s="46" t="e">
        <f t="shared" si="3"/>
        <v>#VALUE!</v>
      </c>
      <c r="I32" s="46">
        <f>IF(ISBLANK('HVAC sizing letter'!$C$25),IF($A32&lt;17,NA(),IF($A32&lt;47,$A32*'CALC-INPUTS'!$C$3+'CALC-INPUTS'!$D$3,IF($A32&lt;50,'CALC-INPUTS'!$B$3,NA()))),IF($A32&lt;5,NA(),IF($A32&lt;17,$A32*'CALC-INPUTS'!$C$4+'CALC-INPUTS'!$D$4,IF($A32&lt;47,$A32*'CALC-INPUTS'!$C$3+'CALC-INPUTS'!$D$3,IF($A32&lt;50,'CALC-INPUTS'!$B$3,NA())))))</f>
        <v>0</v>
      </c>
      <c r="J32" s="46" t="e">
        <f>+IF(A32&lt;=50,A!$G$45*(1-((A32-(-9))/(50-(-9)))),NA())</f>
        <v>#VALUE!</v>
      </c>
      <c r="K32" s="46" t="e">
        <f>+(IF(A32&gt;=70,A!$G$46*(1-((88-A32)/(88-70))),NA()))</f>
        <v>#N/A</v>
      </c>
      <c r="L32" s="63" t="e">
        <f>++IF('HVAC sizing letter'!$C$14="No",NA(),IF(A32&gt;-8,IF(E32="YES",IF(ISBLANK('HVAC sizing letter'!$C$25),IF($A32&lt;17,0,IF($A32&lt;47,$A32*'CALC-INPUTS'!$C$3+'CALC-INPUTS'!$D$3,IF($A32&lt;50,'CALC-INPUTS'!$B$3,NA()))),IF($A32&lt;5,0,IF($A32&lt;17,$A32*'CALC-INPUTS'!$C$4+'CALC-INPUTS'!$D$4,IF($A32&lt;47,$A32*'CALC-INPUTS'!$C$3+'CALC-INPUTS'!$D$3,IF($A32&lt;50,'CALC-INPUTS'!$B$3,NA()))))),NA()),NA()))</f>
        <v>#VALUE!</v>
      </c>
      <c r="M32" s="63" t="e">
        <f>IF('HVAC sizing letter'!$C$14="No",NA(),IF(A32&gt;-8,IF(E32="YES",D32,NA()),NA()))</f>
        <v>#VALUE!</v>
      </c>
      <c r="N32" s="63" t="e">
        <f t="shared" si="4"/>
        <v>#VALUE!</v>
      </c>
    </row>
    <row r="33" spans="1:14" x14ac:dyDescent="0.25">
      <c r="A33" s="37">
        <v>42</v>
      </c>
      <c r="B33" s="37">
        <v>88</v>
      </c>
      <c r="C33" s="46">
        <f>IF(ISBLANK('HVAC sizing letter'!$C$25),IF($A33&lt;17,0,IF($A33&lt;47,$A33*'CALC-INPUTS'!$C$3+'CALC-INPUTS'!$D$3,IF($A33&lt;50,'CALC-INPUTS'!$B$3,0))),IF($A33&lt;5,0,IF($A33&lt;17,$A33*'CALC-INPUTS'!$C$4+'CALC-INPUTS'!$D$4,IF($A33&lt;47,$A33*'CALC-INPUTS'!$C$3+'CALC-INPUTS'!$D$3,IF($A33&lt;50,'CALC-INPUTS'!$B$3,0)))))</f>
        <v>0</v>
      </c>
      <c r="D33" s="46" t="e">
        <f>+(IF(A33&lt;=50,A!$G$45*(1-((A33-(-9))/(50-(-9)))),IF(AND(A33&gt;50,A33&lt;70),0,A!$G$46*(1-((88-A33)/(88-70))))))</f>
        <v>#VALUE!</v>
      </c>
      <c r="E33" s="46" t="e">
        <f t="shared" si="0"/>
        <v>#VALUE!</v>
      </c>
      <c r="F33" s="46" t="e">
        <f t="shared" si="1"/>
        <v>#VALUE!</v>
      </c>
      <c r="G33" s="46" t="e">
        <f t="shared" si="2"/>
        <v>#VALUE!</v>
      </c>
      <c r="H33" s="46" t="e">
        <f t="shared" si="3"/>
        <v>#VALUE!</v>
      </c>
      <c r="I33" s="46">
        <f>IF(ISBLANK('HVAC sizing letter'!$C$25),IF($A33&lt;17,NA(),IF($A33&lt;47,$A33*'CALC-INPUTS'!$C$3+'CALC-INPUTS'!$D$3,IF($A33&lt;50,'CALC-INPUTS'!$B$3,NA()))),IF($A33&lt;5,NA(),IF($A33&lt;17,$A33*'CALC-INPUTS'!$C$4+'CALC-INPUTS'!$D$4,IF($A33&lt;47,$A33*'CALC-INPUTS'!$C$3+'CALC-INPUTS'!$D$3,IF($A33&lt;50,'CALC-INPUTS'!$B$3,NA())))))</f>
        <v>0</v>
      </c>
      <c r="J33" s="46" t="e">
        <f>+IF(A33&lt;=50,A!$G$45*(1-((A33-(-9))/(50-(-9)))),NA())</f>
        <v>#VALUE!</v>
      </c>
      <c r="K33" s="46" t="e">
        <f>+(IF(A33&gt;=70,A!$G$46*(1-((88-A33)/(88-70))),NA()))</f>
        <v>#N/A</v>
      </c>
      <c r="L33" s="63" t="e">
        <f>++IF('HVAC sizing letter'!$C$14="No",NA(),IF(A33&gt;-8,IF(E33="YES",IF(ISBLANK('HVAC sizing letter'!$C$25),IF($A33&lt;17,0,IF($A33&lt;47,$A33*'CALC-INPUTS'!$C$3+'CALC-INPUTS'!$D$3,IF($A33&lt;50,'CALC-INPUTS'!$B$3,NA()))),IF($A33&lt;5,0,IF($A33&lt;17,$A33*'CALC-INPUTS'!$C$4+'CALC-INPUTS'!$D$4,IF($A33&lt;47,$A33*'CALC-INPUTS'!$C$3+'CALC-INPUTS'!$D$3,IF($A33&lt;50,'CALC-INPUTS'!$B$3,NA()))))),NA()),NA()))</f>
        <v>#VALUE!</v>
      </c>
      <c r="M33" s="63" t="e">
        <f>IF('HVAC sizing letter'!$C$14="No",NA(),IF(A33&gt;-8,IF(E33="YES",D33,NA()),NA()))</f>
        <v>#VALUE!</v>
      </c>
      <c r="N33" s="63" t="e">
        <f t="shared" si="4"/>
        <v>#VALUE!</v>
      </c>
    </row>
    <row r="34" spans="1:14" x14ac:dyDescent="0.25">
      <c r="A34" s="37">
        <v>44</v>
      </c>
      <c r="B34" s="37">
        <v>247</v>
      </c>
      <c r="C34" s="46">
        <f>IF(ISBLANK('HVAC sizing letter'!$C$25),IF($A34&lt;17,0,IF($A34&lt;47,$A34*'CALC-INPUTS'!$C$3+'CALC-INPUTS'!$D$3,IF($A34&lt;50,'CALC-INPUTS'!$B$3,0))),IF($A34&lt;5,0,IF($A34&lt;17,$A34*'CALC-INPUTS'!$C$4+'CALC-INPUTS'!$D$4,IF($A34&lt;47,$A34*'CALC-INPUTS'!$C$3+'CALC-INPUTS'!$D$3,IF($A34&lt;50,'CALC-INPUTS'!$B$3,0)))))</f>
        <v>0</v>
      </c>
      <c r="D34" s="46" t="e">
        <f>+(IF(A34&lt;=50,A!$G$45*(1-((A34-(-9))/(50-(-9)))),IF(AND(A34&gt;50,A34&lt;70),0,A!$G$46*(1-((88-A34)/(88-70))))))</f>
        <v>#VALUE!</v>
      </c>
      <c r="E34" s="46" t="e">
        <f t="shared" si="0"/>
        <v>#VALUE!</v>
      </c>
      <c r="F34" s="46" t="e">
        <f t="shared" si="1"/>
        <v>#VALUE!</v>
      </c>
      <c r="G34" s="46" t="e">
        <f t="shared" si="2"/>
        <v>#VALUE!</v>
      </c>
      <c r="H34" s="46" t="e">
        <f t="shared" si="3"/>
        <v>#VALUE!</v>
      </c>
      <c r="I34" s="46">
        <f>IF(ISBLANK('HVAC sizing letter'!$C$25),IF($A34&lt;17,NA(),IF($A34&lt;47,$A34*'CALC-INPUTS'!$C$3+'CALC-INPUTS'!$D$3,IF($A34&lt;50,'CALC-INPUTS'!$B$3,NA()))),IF($A34&lt;5,NA(),IF($A34&lt;17,$A34*'CALC-INPUTS'!$C$4+'CALC-INPUTS'!$D$4,IF($A34&lt;47,$A34*'CALC-INPUTS'!$C$3+'CALC-INPUTS'!$D$3,IF($A34&lt;50,'CALC-INPUTS'!$B$3,NA())))))</f>
        <v>0</v>
      </c>
      <c r="J34" s="46" t="e">
        <f>+IF(A34&lt;=50,A!$G$45*(1-((A34-(-9))/(50-(-9)))),NA())</f>
        <v>#VALUE!</v>
      </c>
      <c r="K34" s="46" t="e">
        <f>+(IF(A34&gt;=70,A!$G$46*(1-((88-A34)/(88-70))),NA()))</f>
        <v>#N/A</v>
      </c>
      <c r="L34" s="63" t="e">
        <f>++IF('HVAC sizing letter'!$C$14="No",NA(),IF(A34&gt;-8,IF(E34="YES",IF(ISBLANK('HVAC sizing letter'!$C$25),IF($A34&lt;17,0,IF($A34&lt;47,$A34*'CALC-INPUTS'!$C$3+'CALC-INPUTS'!$D$3,IF($A34&lt;50,'CALC-INPUTS'!$B$3,NA()))),IF($A34&lt;5,0,IF($A34&lt;17,$A34*'CALC-INPUTS'!$C$4+'CALC-INPUTS'!$D$4,IF($A34&lt;47,$A34*'CALC-INPUTS'!$C$3+'CALC-INPUTS'!$D$3,IF($A34&lt;50,'CALC-INPUTS'!$B$3,NA()))))),NA()),NA()))</f>
        <v>#VALUE!</v>
      </c>
      <c r="M34" s="63" t="e">
        <f>IF('HVAC sizing letter'!$C$14="No",NA(),IF(A34&gt;-8,IF(E34="YES",D34,NA()),NA()))</f>
        <v>#VALUE!</v>
      </c>
      <c r="N34" s="63" t="e">
        <f t="shared" si="4"/>
        <v>#VALUE!</v>
      </c>
    </row>
    <row r="35" spans="1:14" x14ac:dyDescent="0.25">
      <c r="A35" s="37">
        <v>46</v>
      </c>
      <c r="B35" s="37">
        <v>180</v>
      </c>
      <c r="C35" s="46">
        <f>IF(ISBLANK('HVAC sizing letter'!$C$25),IF($A35&lt;17,0,IF($A35&lt;47,$A35*'CALC-INPUTS'!$C$3+'CALC-INPUTS'!$D$3,IF($A35&lt;50,'CALC-INPUTS'!$B$3,0))),IF($A35&lt;5,0,IF($A35&lt;17,$A35*'CALC-INPUTS'!$C$4+'CALC-INPUTS'!$D$4,IF($A35&lt;47,$A35*'CALC-INPUTS'!$C$3+'CALC-INPUTS'!$D$3,IF($A35&lt;50,'CALC-INPUTS'!$B$3,0)))))</f>
        <v>0</v>
      </c>
      <c r="D35" s="46" t="e">
        <f>+(IF(A35&lt;=50,A!$G$45*(1-((A35-(-9))/(50-(-9)))),IF(AND(A35&gt;50,A35&lt;70),0,A!$G$46*(1-((88-A35)/(88-70))))))</f>
        <v>#VALUE!</v>
      </c>
      <c r="E35" s="46" t="e">
        <f t="shared" si="0"/>
        <v>#VALUE!</v>
      </c>
      <c r="F35" s="46" t="e">
        <f t="shared" si="1"/>
        <v>#VALUE!</v>
      </c>
      <c r="G35" s="46" t="e">
        <f t="shared" si="2"/>
        <v>#VALUE!</v>
      </c>
      <c r="H35" s="46" t="e">
        <f t="shared" si="3"/>
        <v>#VALUE!</v>
      </c>
      <c r="I35" s="46">
        <f>IF(ISBLANK('HVAC sizing letter'!$C$25),IF($A35&lt;17,NA(),IF($A35&lt;47,$A35*'CALC-INPUTS'!$C$3+'CALC-INPUTS'!$D$3,IF($A35&lt;50,'CALC-INPUTS'!$B$3,NA()))),IF($A35&lt;5,NA(),IF($A35&lt;17,$A35*'CALC-INPUTS'!$C$4+'CALC-INPUTS'!$D$4,IF($A35&lt;47,$A35*'CALC-INPUTS'!$C$3+'CALC-INPUTS'!$D$3,IF($A35&lt;50,'CALC-INPUTS'!$B$3,NA())))))</f>
        <v>0</v>
      </c>
      <c r="J35" s="46" t="e">
        <f>+IF(A35&lt;=50,A!$G$45*(1-((A35-(-9))/(50-(-9)))),NA())</f>
        <v>#VALUE!</v>
      </c>
      <c r="K35" s="46" t="e">
        <f>+(IF(A35&gt;=70,A!$G$46*(1-((88-A35)/(88-70))),NA()))</f>
        <v>#N/A</v>
      </c>
      <c r="L35" s="63" t="e">
        <f>++IF('HVAC sizing letter'!$C$14="No",NA(),IF(A35&gt;-8,IF(E35="YES",IF(ISBLANK('HVAC sizing letter'!$C$25),IF($A35&lt;17,0,IF($A35&lt;47,$A35*'CALC-INPUTS'!$C$3+'CALC-INPUTS'!$D$3,IF($A35&lt;50,'CALC-INPUTS'!$B$3,NA()))),IF($A35&lt;5,0,IF($A35&lt;17,$A35*'CALC-INPUTS'!$C$4+'CALC-INPUTS'!$D$4,IF($A35&lt;47,$A35*'CALC-INPUTS'!$C$3+'CALC-INPUTS'!$D$3,IF($A35&lt;50,'CALC-INPUTS'!$B$3,NA()))))),NA()),NA()))</f>
        <v>#VALUE!</v>
      </c>
      <c r="M35" s="63" t="e">
        <f>IF('HVAC sizing letter'!$C$14="No",NA(),IF(A35&gt;-8,IF(E35="YES",D35,NA()),NA()))</f>
        <v>#VALUE!</v>
      </c>
      <c r="N35" s="63" t="e">
        <f t="shared" si="4"/>
        <v>#VALUE!</v>
      </c>
    </row>
    <row r="36" spans="1:14" x14ac:dyDescent="0.25">
      <c r="A36" s="37">
        <v>48</v>
      </c>
      <c r="B36" s="37">
        <v>220</v>
      </c>
      <c r="C36" s="46">
        <f>IF(ISBLANK('HVAC sizing letter'!$C$25),IF($A36&lt;17,0,IF($A36&lt;47,$A36*'CALC-INPUTS'!$C$3+'CALC-INPUTS'!$D$3,IF($A36&lt;50,'CALC-INPUTS'!$B$3,0))),IF($A36&lt;5,0,IF($A36&lt;17,$A36*'CALC-INPUTS'!$C$4+'CALC-INPUTS'!$D$4,IF($A36&lt;47,$A36*'CALC-INPUTS'!$C$3+'CALC-INPUTS'!$D$3,IF($A36&lt;50,'CALC-INPUTS'!$B$3,0)))))</f>
        <v>0</v>
      </c>
      <c r="D36" s="46" t="e">
        <f>+(IF(A36&lt;=50,A!$G$45*(1-((A36-(-9))/(50-(-9)))),IF(AND(A36&gt;50,A36&lt;70),0,A!$G$46*(1-((88-A36)/(88-70))))))</f>
        <v>#VALUE!</v>
      </c>
      <c r="E36" s="46" t="e">
        <f t="shared" si="0"/>
        <v>#VALUE!</v>
      </c>
      <c r="F36" s="46" t="e">
        <f t="shared" si="1"/>
        <v>#VALUE!</v>
      </c>
      <c r="G36" s="46" t="e">
        <f t="shared" si="2"/>
        <v>#VALUE!</v>
      </c>
      <c r="H36" s="46" t="e">
        <f t="shared" si="3"/>
        <v>#VALUE!</v>
      </c>
      <c r="I36" s="46">
        <f>IF(ISBLANK('HVAC sizing letter'!$C$25),IF($A36&lt;17,NA(),IF($A36&lt;47,$A36*'CALC-INPUTS'!$C$3+'CALC-INPUTS'!$D$3,IF($A36&lt;50,'CALC-INPUTS'!$B$3,NA()))),IF($A36&lt;5,NA(),IF($A36&lt;17,$A36*'CALC-INPUTS'!$C$4+'CALC-INPUTS'!$D$4,IF($A36&lt;47,$A36*'CALC-INPUTS'!$C$3+'CALC-INPUTS'!$D$3,IF($A36&lt;50,'CALC-INPUTS'!$B$3,NA())))))</f>
        <v>0</v>
      </c>
      <c r="J36" s="46" t="e">
        <f>+IF(A36&lt;=50,A!$G$45*(1-((A36-(-9))/(50-(-9)))),NA())</f>
        <v>#VALUE!</v>
      </c>
      <c r="K36" s="46" t="e">
        <f>+(IF(A36&gt;=70,A!$G$46*(1-((88-A36)/(88-70))),NA()))</f>
        <v>#N/A</v>
      </c>
      <c r="L36" s="63" t="e">
        <f>++IF('HVAC sizing letter'!$C$14="No",NA(),IF(A36&gt;-8,IF(E36="YES",IF(ISBLANK('HVAC sizing letter'!$C$25),IF($A36&lt;17,0,IF($A36&lt;47,$A36*'CALC-INPUTS'!$C$3+'CALC-INPUTS'!$D$3,IF($A36&lt;50,'CALC-INPUTS'!$B$3,NA()))),IF($A36&lt;5,0,IF($A36&lt;17,$A36*'CALC-INPUTS'!$C$4+'CALC-INPUTS'!$D$4,IF($A36&lt;47,$A36*'CALC-INPUTS'!$C$3+'CALC-INPUTS'!$D$3,IF($A36&lt;50,'CALC-INPUTS'!$B$3,NA()))))),NA()),NA()))</f>
        <v>#VALUE!</v>
      </c>
      <c r="M36" s="63" t="e">
        <f>IF('HVAC sizing letter'!$C$14="No",NA(),IF(A36&gt;-8,IF(E36="YES",D36,NA()),NA()))</f>
        <v>#VALUE!</v>
      </c>
      <c r="N36" s="63" t="e">
        <f t="shared" si="4"/>
        <v>#VALUE!</v>
      </c>
    </row>
    <row r="37" spans="1:14" x14ac:dyDescent="0.25">
      <c r="A37" s="37">
        <v>50</v>
      </c>
      <c r="B37" s="37">
        <v>215</v>
      </c>
      <c r="C37" s="46">
        <f>IF(ISBLANK('HVAC sizing letter'!$C$25),IF($A37&lt;17,0,IF($A37&lt;47,$A37*'CALC-INPUTS'!$C$3+'CALC-INPUTS'!$D$3,IF($A37&lt;50,'CALC-INPUTS'!$B$3,0))),IF($A37&lt;5,0,IF($A37&lt;17,$A37*'CALC-INPUTS'!$C$4+'CALC-INPUTS'!$D$4,IF($A37&lt;47,$A37*'CALC-INPUTS'!$C$3+'CALC-INPUTS'!$D$3,IF($A37&lt;50,'CALC-INPUTS'!$B$3,0)))))</f>
        <v>0</v>
      </c>
      <c r="D37" s="46" t="e">
        <f>+(IF(A37&lt;=50,A!$G$45*(1-((A37-(-9))/(50-(-9)))),IF(AND(A37&gt;50,A37&lt;70),0,A!$G$46*(1-((88-A37)/(88-70))))))</f>
        <v>#VALUE!</v>
      </c>
      <c r="E37" s="46" t="str">
        <f t="shared" si="0"/>
        <v>NO</v>
      </c>
      <c r="F37" s="46" t="str">
        <f t="shared" si="1"/>
        <v/>
      </c>
      <c r="G37" s="46">
        <f t="shared" si="2"/>
        <v>0</v>
      </c>
      <c r="H37" s="46">
        <f t="shared" si="3"/>
        <v>0</v>
      </c>
      <c r="I37" s="46" t="e">
        <f>IF(ISBLANK('HVAC sizing letter'!$C$25),IF($A37&lt;17,NA(),IF($A37&lt;47,$A37*'CALC-INPUTS'!$C$3+'CALC-INPUTS'!$D$3,IF($A37&lt;50,'CALC-INPUTS'!$B$3,NA()))),IF($A37&lt;5,NA(),IF($A37&lt;17,$A37*'CALC-INPUTS'!$C$4+'CALC-INPUTS'!$D$4,IF($A37&lt;47,$A37*'CALC-INPUTS'!$C$3+'CALC-INPUTS'!$D$3,IF($A37&lt;50,'CALC-INPUTS'!$B$3,NA())))))</f>
        <v>#N/A</v>
      </c>
      <c r="J37" s="46" t="e">
        <f>+IF(A37&lt;=50,A!$G$45*(1-((A37-(-9))/(50-(-9)))),NA())</f>
        <v>#VALUE!</v>
      </c>
      <c r="K37" s="46" t="e">
        <f>+(IF(A37&gt;=70,A!$G$46*(1-((88-A37)/(88-70))),NA()))</f>
        <v>#N/A</v>
      </c>
      <c r="L37" s="63" t="e">
        <f>++IF('HVAC sizing letter'!$C$14="No",NA(),IF(A37&gt;-8,IF(E37="YES",IF(ISBLANK('HVAC sizing letter'!$C$25),IF($A37&lt;17,0,IF($A37&lt;47,$A37*'CALC-INPUTS'!$C$3+'CALC-INPUTS'!$D$3,IF($A37&lt;50,'CALC-INPUTS'!$B$3,NA()))),IF($A37&lt;5,0,IF($A37&lt;17,$A37*'CALC-INPUTS'!$C$4+'CALC-INPUTS'!$D$4,IF($A37&lt;47,$A37*'CALC-INPUTS'!$C$3+'CALC-INPUTS'!$D$3,IF($A37&lt;50,'CALC-INPUTS'!$B$3,NA()))))),NA()),NA()))</f>
        <v>#N/A</v>
      </c>
      <c r="M37" s="63" t="e">
        <f>IF('HVAC sizing letter'!$C$14="No",NA(),IF(A37&gt;-8,IF(E37="YES",D37,NA()),NA()))</f>
        <v>#N/A</v>
      </c>
      <c r="N37" s="63" t="e">
        <f t="shared" si="4"/>
        <v>#N/A</v>
      </c>
    </row>
    <row r="38" spans="1:14" x14ac:dyDescent="0.25">
      <c r="A38" s="37">
        <v>52</v>
      </c>
      <c r="B38" s="37">
        <v>334</v>
      </c>
      <c r="C38" s="46">
        <f>IF(ISBLANK('HVAC sizing letter'!$C$25),IF($A38&lt;17,0,IF($A38&lt;47,$A38*'CALC-INPUTS'!$C$3+'CALC-INPUTS'!$D$3,IF($A38&lt;50,'CALC-INPUTS'!$B$3,0))),IF($A38&lt;5,0,IF($A38&lt;17,$A38*'CALC-INPUTS'!$C$4+'CALC-INPUTS'!$D$4,IF($A38&lt;47,$A38*'CALC-INPUTS'!$C$3+'CALC-INPUTS'!$D$3,IF($A38&lt;50,'CALC-INPUTS'!$B$3,0)))))</f>
        <v>0</v>
      </c>
      <c r="D38" s="46">
        <f>+(IF(A38&lt;=50,A!$G$45*(1-((A38-(-9))/(50-(-9)))),IF(AND(A38&gt;50,A38&lt;70),0,A!$G$46*(1-((88-A38)/(88-70))))))</f>
        <v>0</v>
      </c>
      <c r="E38" s="46" t="str">
        <f t="shared" si="0"/>
        <v>NO</v>
      </c>
      <c r="F38" s="46" t="str">
        <f t="shared" si="1"/>
        <v/>
      </c>
      <c r="G38" s="46">
        <f t="shared" si="2"/>
        <v>0</v>
      </c>
      <c r="H38" s="46">
        <f t="shared" si="3"/>
        <v>0</v>
      </c>
      <c r="I38" s="46" t="e">
        <f>IF(ISBLANK('HVAC sizing letter'!$C$25),IF($A38&lt;17,NA(),IF($A38&lt;47,$A38*'CALC-INPUTS'!$C$3+'CALC-INPUTS'!$D$3,IF($A38&lt;50,'CALC-INPUTS'!$B$3,NA()))),IF($A38&lt;5,NA(),IF($A38&lt;17,$A38*'CALC-INPUTS'!$C$4+'CALC-INPUTS'!$D$4,IF($A38&lt;47,$A38*'CALC-INPUTS'!$C$3+'CALC-INPUTS'!$D$3,IF($A38&lt;50,'CALC-INPUTS'!$B$3,NA())))))</f>
        <v>#N/A</v>
      </c>
      <c r="J38" s="46" t="e">
        <f>+IF(A38&lt;=50,A!$G$45*(1-((A38-(-9))/(50-(-9)))),NA())</f>
        <v>#N/A</v>
      </c>
      <c r="K38" s="46" t="e">
        <f>+(IF(A38&gt;=70,A!$G$46*(1-((88-A38)/(88-70))),NA()))</f>
        <v>#N/A</v>
      </c>
      <c r="L38" s="63" t="e">
        <f>++IF('HVAC sizing letter'!$C$14="No",NA(),IF(A38&gt;-8,IF(E38="YES",IF(ISBLANK('HVAC sizing letter'!$C$25),IF($A38&lt;17,0,IF($A38&lt;47,$A38*'CALC-INPUTS'!$C$3+'CALC-INPUTS'!$D$3,IF($A38&lt;50,'CALC-INPUTS'!$B$3,NA()))),IF($A38&lt;5,0,IF($A38&lt;17,$A38*'CALC-INPUTS'!$C$4+'CALC-INPUTS'!$D$4,IF($A38&lt;47,$A38*'CALC-INPUTS'!$C$3+'CALC-INPUTS'!$D$3,IF($A38&lt;50,'CALC-INPUTS'!$B$3,NA()))))),NA()),NA()))</f>
        <v>#N/A</v>
      </c>
      <c r="M38" s="63" t="e">
        <f>IF('HVAC sizing letter'!$C$14="No",NA(),IF(A38&gt;-8,IF(E38="YES",D38,NA()),NA()))</f>
        <v>#N/A</v>
      </c>
      <c r="N38" s="63" t="e">
        <f t="shared" si="4"/>
        <v>#N/A</v>
      </c>
    </row>
    <row r="39" spans="1:14" x14ac:dyDescent="0.25">
      <c r="A39" s="37">
        <v>54</v>
      </c>
      <c r="B39" s="37">
        <v>252</v>
      </c>
      <c r="C39" s="46">
        <f>IF(ISBLANK('HVAC sizing letter'!$C$25),IF($A39&lt;17,0,IF($A39&lt;47,$A39*'CALC-INPUTS'!$C$3+'CALC-INPUTS'!$D$3,IF($A39&lt;50,'CALC-INPUTS'!$B$3,0))),IF($A39&lt;5,0,IF($A39&lt;17,$A39*'CALC-INPUTS'!$C$4+'CALC-INPUTS'!$D$4,IF($A39&lt;47,$A39*'CALC-INPUTS'!$C$3+'CALC-INPUTS'!$D$3,IF($A39&lt;50,'CALC-INPUTS'!$B$3,0)))))</f>
        <v>0</v>
      </c>
      <c r="D39" s="46">
        <f>+(IF(A39&lt;=50,A!$G$45*(1-((A39-(-9))/(50-(-9)))),IF(AND(A39&gt;50,A39&lt;70),0,A!$G$46*(1-((88-A39)/(88-70))))))</f>
        <v>0</v>
      </c>
      <c r="E39" s="46" t="str">
        <f t="shared" si="0"/>
        <v>NO</v>
      </c>
      <c r="F39" s="46" t="str">
        <f t="shared" si="1"/>
        <v/>
      </c>
      <c r="G39" s="46">
        <f t="shared" si="2"/>
        <v>0</v>
      </c>
      <c r="H39" s="46">
        <f t="shared" si="3"/>
        <v>0</v>
      </c>
      <c r="I39" s="46" t="e">
        <f>IF(ISBLANK('HVAC sizing letter'!$C$25),IF($A39&lt;17,NA(),IF($A39&lt;47,$A39*'CALC-INPUTS'!$C$3+'CALC-INPUTS'!$D$3,IF($A39&lt;50,'CALC-INPUTS'!$B$3,NA()))),IF($A39&lt;5,NA(),IF($A39&lt;17,$A39*'CALC-INPUTS'!$C$4+'CALC-INPUTS'!$D$4,IF($A39&lt;47,$A39*'CALC-INPUTS'!$C$3+'CALC-INPUTS'!$D$3,IF($A39&lt;50,'CALC-INPUTS'!$B$3,NA())))))</f>
        <v>#N/A</v>
      </c>
      <c r="J39" s="46" t="e">
        <f>+IF(A39&lt;=50,A!$G$45*(1-((A39-(-9))/(50-(-9)))),NA())</f>
        <v>#N/A</v>
      </c>
      <c r="K39" s="46" t="e">
        <f>+(IF(A39&gt;=70,A!$G$46*(1-((88-A39)/(88-70))),NA()))</f>
        <v>#N/A</v>
      </c>
      <c r="L39" s="63" t="e">
        <f>++IF('HVAC sizing letter'!$C$14="No",NA(),IF(A39&gt;-8,IF(E39="YES",IF(ISBLANK('HVAC sizing letter'!$C$25),IF($A39&lt;17,0,IF($A39&lt;47,$A39*'CALC-INPUTS'!$C$3+'CALC-INPUTS'!$D$3,IF($A39&lt;50,'CALC-INPUTS'!$B$3,NA()))),IF($A39&lt;5,0,IF($A39&lt;17,$A39*'CALC-INPUTS'!$C$4+'CALC-INPUTS'!$D$4,IF($A39&lt;47,$A39*'CALC-INPUTS'!$C$3+'CALC-INPUTS'!$D$3,IF($A39&lt;50,'CALC-INPUTS'!$B$3,NA()))))),NA()),NA()))</f>
        <v>#N/A</v>
      </c>
      <c r="M39" s="63" t="e">
        <f>IF('HVAC sizing letter'!$C$14="No",NA(),IF(A39&gt;-8,IF(E39="YES",D39,NA()),NA()))</f>
        <v>#N/A</v>
      </c>
      <c r="N39" s="63" t="e">
        <f t="shared" si="4"/>
        <v>#N/A</v>
      </c>
    </row>
    <row r="40" spans="1:14" x14ac:dyDescent="0.25">
      <c r="A40" s="37">
        <v>56</v>
      </c>
      <c r="B40" s="37">
        <v>223</v>
      </c>
      <c r="C40" s="46">
        <f>IF(ISBLANK('HVAC sizing letter'!$C$25),IF($A40&lt;17,0,IF($A40&lt;47,$A40*'CALC-INPUTS'!$C$3+'CALC-INPUTS'!$D$3,IF($A40&lt;50,'CALC-INPUTS'!$B$3,0))),IF($A40&lt;5,0,IF($A40&lt;17,$A40*'CALC-INPUTS'!$C$4+'CALC-INPUTS'!$D$4,IF($A40&lt;47,$A40*'CALC-INPUTS'!$C$3+'CALC-INPUTS'!$D$3,IF($A40&lt;50,'CALC-INPUTS'!$B$3,0)))))</f>
        <v>0</v>
      </c>
      <c r="D40" s="46">
        <f>+(IF(A40&lt;=50,A!$G$45*(1-((A40-(-9))/(50-(-9)))),IF(AND(A40&gt;50,A40&lt;70),0,A!$G$46*(1-((88-A40)/(88-70))))))</f>
        <v>0</v>
      </c>
      <c r="E40" s="46" t="str">
        <f t="shared" si="0"/>
        <v>NO</v>
      </c>
      <c r="F40" s="46" t="str">
        <f t="shared" si="1"/>
        <v/>
      </c>
      <c r="G40" s="46">
        <f t="shared" si="2"/>
        <v>0</v>
      </c>
      <c r="H40" s="46">
        <f t="shared" si="3"/>
        <v>0</v>
      </c>
      <c r="I40" s="46" t="e">
        <f>IF(ISBLANK('HVAC sizing letter'!$C$25),IF($A40&lt;17,NA(),IF($A40&lt;47,$A40*'CALC-INPUTS'!$C$3+'CALC-INPUTS'!$D$3,IF($A40&lt;50,'CALC-INPUTS'!$B$3,NA()))),IF($A40&lt;5,NA(),IF($A40&lt;17,$A40*'CALC-INPUTS'!$C$4+'CALC-INPUTS'!$D$4,IF($A40&lt;47,$A40*'CALC-INPUTS'!$C$3+'CALC-INPUTS'!$D$3,IF($A40&lt;50,'CALC-INPUTS'!$B$3,NA())))))</f>
        <v>#N/A</v>
      </c>
      <c r="J40" s="46" t="e">
        <f>+IF(A40&lt;=50,A!$G$45*(1-((A40-(-9))/(50-(-9)))),NA())</f>
        <v>#N/A</v>
      </c>
      <c r="K40" s="46" t="e">
        <f>+(IF(A40&gt;=70,A!$G$46*(1-((88-A40)/(88-70))),NA()))</f>
        <v>#N/A</v>
      </c>
      <c r="L40" s="63" t="e">
        <f>++IF('HVAC sizing letter'!$C$14="No",NA(),IF(A40&gt;-8,IF(E40="YES",IF(ISBLANK('HVAC sizing letter'!$C$25),IF($A40&lt;17,0,IF($A40&lt;47,$A40*'CALC-INPUTS'!$C$3+'CALC-INPUTS'!$D$3,IF($A40&lt;50,'CALC-INPUTS'!$B$3,NA()))),IF($A40&lt;5,0,IF($A40&lt;17,$A40*'CALC-INPUTS'!$C$4+'CALC-INPUTS'!$D$4,IF($A40&lt;47,$A40*'CALC-INPUTS'!$C$3+'CALC-INPUTS'!$D$3,IF($A40&lt;50,'CALC-INPUTS'!$B$3,NA()))))),NA()),NA()))</f>
        <v>#N/A</v>
      </c>
      <c r="M40" s="63" t="e">
        <f>IF('HVAC sizing letter'!$C$14="No",NA(),IF(A40&gt;-8,IF(E40="YES",D40,NA()),NA()))</f>
        <v>#N/A</v>
      </c>
      <c r="N40" s="63" t="e">
        <f t="shared" si="4"/>
        <v>#N/A</v>
      </c>
    </row>
    <row r="41" spans="1:14" x14ac:dyDescent="0.25">
      <c r="A41" s="37">
        <v>58</v>
      </c>
      <c r="B41" s="37">
        <v>224</v>
      </c>
      <c r="C41" s="46">
        <f>IF(ISBLANK('HVAC sizing letter'!$C$25),IF($A41&lt;17,0,IF($A41&lt;47,$A41*'CALC-INPUTS'!$C$3+'CALC-INPUTS'!$D$3,IF($A41&lt;50,'CALC-INPUTS'!$B$3,0))),IF($A41&lt;5,0,IF($A41&lt;17,$A41*'CALC-INPUTS'!$C$4+'CALC-INPUTS'!$D$4,IF($A41&lt;47,$A41*'CALC-INPUTS'!$C$3+'CALC-INPUTS'!$D$3,IF($A41&lt;50,'CALC-INPUTS'!$B$3,0)))))</f>
        <v>0</v>
      </c>
      <c r="D41" s="46">
        <f>+(IF(A41&lt;=50,A!$G$45*(1-((A41-(-9))/(50-(-9)))),IF(AND(A41&gt;50,A41&lt;70),0,A!$G$46*(1-((88-A41)/(88-70))))))</f>
        <v>0</v>
      </c>
      <c r="E41" s="46" t="str">
        <f t="shared" si="0"/>
        <v>NO</v>
      </c>
      <c r="F41" s="46" t="str">
        <f t="shared" si="1"/>
        <v/>
      </c>
      <c r="G41" s="46">
        <f t="shared" si="2"/>
        <v>0</v>
      </c>
      <c r="H41" s="46">
        <f t="shared" si="3"/>
        <v>0</v>
      </c>
      <c r="I41" s="46" t="e">
        <f>IF(ISBLANK('HVAC sizing letter'!$C$25),IF($A41&lt;17,NA(),IF($A41&lt;47,$A41*'CALC-INPUTS'!$C$3+'CALC-INPUTS'!$D$3,IF($A41&lt;50,'CALC-INPUTS'!$B$3,NA()))),IF($A41&lt;5,NA(),IF($A41&lt;17,$A41*'CALC-INPUTS'!$C$4+'CALC-INPUTS'!$D$4,IF($A41&lt;47,$A41*'CALC-INPUTS'!$C$3+'CALC-INPUTS'!$D$3,IF($A41&lt;50,'CALC-INPUTS'!$B$3,NA())))))</f>
        <v>#N/A</v>
      </c>
      <c r="J41" s="46" t="e">
        <f>+IF(A41&lt;=50,A!$G$45*(1-((A41-(-9))/(50-(-9)))),NA())</f>
        <v>#N/A</v>
      </c>
      <c r="K41" s="46" t="e">
        <f>+(IF(A41&gt;=70,A!$G$46*(1-((88-A41)/(88-70))),NA()))</f>
        <v>#N/A</v>
      </c>
      <c r="L41" s="63" t="e">
        <f>++IF('HVAC sizing letter'!$C$14="No",NA(),IF(A41&gt;-8,IF(E41="YES",IF(ISBLANK('HVAC sizing letter'!$C$25),IF($A41&lt;17,0,IF($A41&lt;47,$A41*'CALC-INPUTS'!$C$3+'CALC-INPUTS'!$D$3,IF($A41&lt;50,'CALC-INPUTS'!$B$3,NA()))),IF($A41&lt;5,0,IF($A41&lt;17,$A41*'CALC-INPUTS'!$C$4+'CALC-INPUTS'!$D$4,IF($A41&lt;47,$A41*'CALC-INPUTS'!$C$3+'CALC-INPUTS'!$D$3,IF($A41&lt;50,'CALC-INPUTS'!$B$3,NA()))))),NA()),NA()))</f>
        <v>#N/A</v>
      </c>
      <c r="M41" s="63" t="e">
        <f>IF('HVAC sizing letter'!$C$14="No",NA(),IF(A41&gt;-8,IF(E41="YES",D41,NA()),NA()))</f>
        <v>#N/A</v>
      </c>
      <c r="N41" s="63" t="e">
        <f t="shared" si="4"/>
        <v>#N/A</v>
      </c>
    </row>
    <row r="42" spans="1:14" x14ac:dyDescent="0.25">
      <c r="A42" s="37">
        <v>60</v>
      </c>
      <c r="B42" s="37">
        <v>116</v>
      </c>
      <c r="C42" s="46">
        <f>IF(ISBLANK('HVAC sizing letter'!$C$25),IF($A42&lt;17,0,IF($A42&lt;47,$A42*'CALC-INPUTS'!$C$3+'CALC-INPUTS'!$D$3,IF($A42&lt;50,'CALC-INPUTS'!$B$3,0))),IF($A42&lt;5,0,IF($A42&lt;17,$A42*'CALC-INPUTS'!$C$4+'CALC-INPUTS'!$D$4,IF($A42&lt;47,$A42*'CALC-INPUTS'!$C$3+'CALC-INPUTS'!$D$3,IF($A42&lt;50,'CALC-INPUTS'!$B$3,0)))))</f>
        <v>0</v>
      </c>
      <c r="D42" s="46">
        <f>+(IF(A42&lt;=50,A!$G$45*(1-((A42-(-9))/(50-(-9)))),IF(AND(A42&gt;50,A42&lt;70),0,A!$G$46*(1-((88-A42)/(88-70))))))</f>
        <v>0</v>
      </c>
      <c r="E42" s="46" t="str">
        <f t="shared" si="0"/>
        <v>NO</v>
      </c>
      <c r="F42" s="46" t="str">
        <f t="shared" si="1"/>
        <v/>
      </c>
      <c r="G42" s="46">
        <f t="shared" si="2"/>
        <v>0</v>
      </c>
      <c r="H42" s="46">
        <f t="shared" si="3"/>
        <v>0</v>
      </c>
      <c r="I42" s="46" t="e">
        <f>IF(ISBLANK('HVAC sizing letter'!$C$25),IF($A42&lt;17,NA(),IF($A42&lt;47,$A42*'CALC-INPUTS'!$C$3+'CALC-INPUTS'!$D$3,IF($A42&lt;50,'CALC-INPUTS'!$B$3,NA()))),IF($A42&lt;5,NA(),IF($A42&lt;17,$A42*'CALC-INPUTS'!$C$4+'CALC-INPUTS'!$D$4,IF($A42&lt;47,$A42*'CALC-INPUTS'!$C$3+'CALC-INPUTS'!$D$3,IF($A42&lt;50,'CALC-INPUTS'!$B$3,NA())))))</f>
        <v>#N/A</v>
      </c>
      <c r="J42" s="46" t="e">
        <f>+IF(A42&lt;=50,A!$G$45*(1-((A42-(-9))/(50-(-9)))),NA())</f>
        <v>#N/A</v>
      </c>
      <c r="K42" s="46" t="e">
        <f>+(IF(A42&gt;=70,A!$G$46*(1-((88-A42)/(88-70))),NA()))</f>
        <v>#N/A</v>
      </c>
      <c r="L42" s="63" t="e">
        <f>++IF('HVAC sizing letter'!$C$14="No",NA(),IF(A42&gt;-8,IF(E42="YES",IF(ISBLANK('HVAC sizing letter'!$C$25),IF($A42&lt;17,0,IF($A42&lt;47,$A42*'CALC-INPUTS'!$C$3+'CALC-INPUTS'!$D$3,IF($A42&lt;50,'CALC-INPUTS'!$B$3,NA()))),IF($A42&lt;5,0,IF($A42&lt;17,$A42*'CALC-INPUTS'!$C$4+'CALC-INPUTS'!$D$4,IF($A42&lt;47,$A42*'CALC-INPUTS'!$C$3+'CALC-INPUTS'!$D$3,IF($A42&lt;50,'CALC-INPUTS'!$B$3,NA()))))),NA()),NA()))</f>
        <v>#N/A</v>
      </c>
      <c r="M42" s="63" t="e">
        <f>IF('HVAC sizing letter'!$C$14="No",NA(),IF(A42&gt;-8,IF(E42="YES",D42,NA()),NA()))</f>
        <v>#N/A</v>
      </c>
      <c r="N42" s="63" t="e">
        <f t="shared" si="4"/>
        <v>#N/A</v>
      </c>
    </row>
    <row r="43" spans="1:14" x14ac:dyDescent="0.25">
      <c r="A43" s="37">
        <v>62</v>
      </c>
      <c r="B43" s="37">
        <v>254</v>
      </c>
      <c r="C43" s="46">
        <f>IF(ISBLANK('HVAC sizing letter'!$C$25),IF($A43&lt;17,0,IF($A43&lt;47,$A43*'CALC-INPUTS'!$C$3+'CALC-INPUTS'!$D$3,IF($A43&lt;50,'CALC-INPUTS'!$B$3,0))),IF($A43&lt;5,0,IF($A43&lt;17,$A43*'CALC-INPUTS'!$C$4+'CALC-INPUTS'!$D$4,IF($A43&lt;47,$A43*'CALC-INPUTS'!$C$3+'CALC-INPUTS'!$D$3,IF($A43&lt;50,'CALC-INPUTS'!$B$3,0)))))</f>
        <v>0</v>
      </c>
      <c r="D43" s="46">
        <f>+(IF(A43&lt;=50,A!$G$45*(1-((A43-(-9))/(50-(-9)))),IF(AND(A43&gt;50,A43&lt;70),0,A!$G$46*(1-((88-A43)/(88-70))))))</f>
        <v>0</v>
      </c>
      <c r="E43" s="46" t="str">
        <f t="shared" si="0"/>
        <v>NO</v>
      </c>
      <c r="F43" s="46" t="str">
        <f t="shared" si="1"/>
        <v/>
      </c>
      <c r="G43" s="46">
        <f t="shared" si="2"/>
        <v>0</v>
      </c>
      <c r="H43" s="46">
        <f t="shared" si="3"/>
        <v>0</v>
      </c>
      <c r="I43" s="46" t="e">
        <f>IF(ISBLANK('HVAC sizing letter'!$C$25),IF($A43&lt;17,NA(),IF($A43&lt;47,$A43*'CALC-INPUTS'!$C$3+'CALC-INPUTS'!$D$3,IF($A43&lt;50,'CALC-INPUTS'!$B$3,NA()))),IF($A43&lt;5,NA(),IF($A43&lt;17,$A43*'CALC-INPUTS'!$C$4+'CALC-INPUTS'!$D$4,IF($A43&lt;47,$A43*'CALC-INPUTS'!$C$3+'CALC-INPUTS'!$D$3,IF($A43&lt;50,'CALC-INPUTS'!$B$3,NA())))))</f>
        <v>#N/A</v>
      </c>
      <c r="J43" s="46" t="e">
        <f>+IF(A43&lt;=50,A!$G$45*(1-((A43-(-9))/(50-(-9)))),NA())</f>
        <v>#N/A</v>
      </c>
      <c r="K43" s="46" t="e">
        <f>+(IF(A43&gt;=70,A!$G$46*(1-((88-A43)/(88-70))),NA()))</f>
        <v>#N/A</v>
      </c>
      <c r="L43" s="63" t="e">
        <f>++IF('HVAC sizing letter'!$C$14="No",NA(),IF(A43&gt;-8,IF(E43="YES",IF(ISBLANK('HVAC sizing letter'!$C$25),IF($A43&lt;17,0,IF($A43&lt;47,$A43*'CALC-INPUTS'!$C$3+'CALC-INPUTS'!$D$3,IF($A43&lt;50,'CALC-INPUTS'!$B$3,NA()))),IF($A43&lt;5,0,IF($A43&lt;17,$A43*'CALC-INPUTS'!$C$4+'CALC-INPUTS'!$D$4,IF($A43&lt;47,$A43*'CALC-INPUTS'!$C$3+'CALC-INPUTS'!$D$3,IF($A43&lt;50,'CALC-INPUTS'!$B$3,NA()))))),NA()),NA()))</f>
        <v>#N/A</v>
      </c>
      <c r="M43" s="63" t="e">
        <f>IF('HVAC sizing letter'!$C$14="No",NA(),IF(A43&gt;-8,IF(E43="YES",D43,NA()),NA()))</f>
        <v>#N/A</v>
      </c>
      <c r="N43" s="63" t="e">
        <f t="shared" si="4"/>
        <v>#N/A</v>
      </c>
    </row>
    <row r="44" spans="1:14" x14ac:dyDescent="0.25">
      <c r="A44" s="37">
        <v>64</v>
      </c>
      <c r="B44" s="37">
        <v>261</v>
      </c>
      <c r="C44" s="46">
        <f>IF(ISBLANK('HVAC sizing letter'!$C$25),IF($A44&lt;17,0,IF($A44&lt;47,$A44*'CALC-INPUTS'!$C$3+'CALC-INPUTS'!$D$3,IF($A44&lt;50,'CALC-INPUTS'!$B$3,0))),IF($A44&lt;5,0,IF($A44&lt;17,$A44*'CALC-INPUTS'!$C$4+'CALC-INPUTS'!$D$4,IF($A44&lt;47,$A44*'CALC-INPUTS'!$C$3+'CALC-INPUTS'!$D$3,IF($A44&lt;50,'CALC-INPUTS'!$B$3,0)))))</f>
        <v>0</v>
      </c>
      <c r="D44" s="46">
        <f>+(IF(A44&lt;=50,A!$G$45*(1-((A44-(-9))/(50-(-9)))),IF(AND(A44&gt;50,A44&lt;70),0,A!$G$46*(1-((88-A44)/(88-70))))))</f>
        <v>0</v>
      </c>
      <c r="E44" s="46" t="str">
        <f t="shared" si="0"/>
        <v>NO</v>
      </c>
      <c r="F44" s="46" t="str">
        <f t="shared" si="1"/>
        <v/>
      </c>
      <c r="G44" s="46">
        <f t="shared" si="2"/>
        <v>0</v>
      </c>
      <c r="H44" s="46">
        <f t="shared" si="3"/>
        <v>0</v>
      </c>
      <c r="I44" s="46" t="e">
        <f>IF(ISBLANK('HVAC sizing letter'!$C$25),IF($A44&lt;17,NA(),IF($A44&lt;47,$A44*'CALC-INPUTS'!$C$3+'CALC-INPUTS'!$D$3,IF($A44&lt;50,'CALC-INPUTS'!$B$3,NA()))),IF($A44&lt;5,NA(),IF($A44&lt;17,$A44*'CALC-INPUTS'!$C$4+'CALC-INPUTS'!$D$4,IF($A44&lt;47,$A44*'CALC-INPUTS'!$C$3+'CALC-INPUTS'!$D$3,IF($A44&lt;50,'CALC-INPUTS'!$B$3,NA())))))</f>
        <v>#N/A</v>
      </c>
      <c r="J44" s="46" t="e">
        <f>+IF(A44&lt;=50,A!$G$45*(1-((A44-(-9))/(50-(-9)))),NA())</f>
        <v>#N/A</v>
      </c>
      <c r="K44" s="46" t="e">
        <f>+(IF(A44&gt;=70,A!$G$46*(1-((88-A44)/(88-70))),NA()))</f>
        <v>#N/A</v>
      </c>
      <c r="L44" s="63" t="e">
        <f>++IF('HVAC sizing letter'!$C$14="No",NA(),IF(A44&gt;-8,IF(E44="YES",IF(ISBLANK('HVAC sizing letter'!$C$25),IF($A44&lt;17,0,IF($A44&lt;47,$A44*'CALC-INPUTS'!$C$3+'CALC-INPUTS'!$D$3,IF($A44&lt;50,'CALC-INPUTS'!$B$3,NA()))),IF($A44&lt;5,0,IF($A44&lt;17,$A44*'CALC-INPUTS'!$C$4+'CALC-INPUTS'!$D$4,IF($A44&lt;47,$A44*'CALC-INPUTS'!$C$3+'CALC-INPUTS'!$D$3,IF($A44&lt;50,'CALC-INPUTS'!$B$3,NA()))))),NA()),NA()))</f>
        <v>#N/A</v>
      </c>
      <c r="M44" s="63" t="e">
        <f>IF('HVAC sizing letter'!$C$14="No",NA(),IF(A44&gt;-8,IF(E44="YES",D44,NA()),NA()))</f>
        <v>#N/A</v>
      </c>
      <c r="N44" s="63" t="e">
        <f t="shared" si="4"/>
        <v>#N/A</v>
      </c>
    </row>
    <row r="45" spans="1:14" x14ac:dyDescent="0.25">
      <c r="A45" s="37">
        <v>66</v>
      </c>
      <c r="B45" s="37">
        <v>263</v>
      </c>
      <c r="C45" s="46">
        <f>IF(ISBLANK('HVAC sizing letter'!$C$25),IF($A45&lt;17,0,IF($A45&lt;47,$A45*'CALC-INPUTS'!$C$3+'CALC-INPUTS'!$D$3,IF($A45&lt;50,'CALC-INPUTS'!$B$3,0))),IF($A45&lt;5,0,IF($A45&lt;17,$A45*'CALC-INPUTS'!$C$4+'CALC-INPUTS'!$D$4,IF($A45&lt;47,$A45*'CALC-INPUTS'!$C$3+'CALC-INPUTS'!$D$3,IF($A45&lt;50,'CALC-INPUTS'!$B$3,0)))))</f>
        <v>0</v>
      </c>
      <c r="D45" s="46">
        <f>+(IF(A45&lt;=50,A!$G$45*(1-((A45-(-9))/(50-(-9)))),IF(AND(A45&gt;50,A45&lt;70),0,A!$G$46*(1-((88-A45)/(88-70))))))</f>
        <v>0</v>
      </c>
      <c r="E45" s="46" t="str">
        <f t="shared" si="0"/>
        <v>NO</v>
      </c>
      <c r="F45" s="46" t="str">
        <f t="shared" si="1"/>
        <v/>
      </c>
      <c r="G45" s="46">
        <f t="shared" si="2"/>
        <v>0</v>
      </c>
      <c r="H45" s="46">
        <f t="shared" si="3"/>
        <v>0</v>
      </c>
      <c r="I45" s="46" t="e">
        <f>IF(ISBLANK('HVAC sizing letter'!$C$25),IF($A45&lt;17,NA(),IF($A45&lt;47,$A45*'CALC-INPUTS'!$C$3+'CALC-INPUTS'!$D$3,IF($A45&lt;50,'CALC-INPUTS'!$B$3,NA()))),IF($A45&lt;5,NA(),IF($A45&lt;17,$A45*'CALC-INPUTS'!$C$4+'CALC-INPUTS'!$D$4,IF($A45&lt;47,$A45*'CALC-INPUTS'!$C$3+'CALC-INPUTS'!$D$3,IF($A45&lt;50,'CALC-INPUTS'!$B$3,NA())))))</f>
        <v>#N/A</v>
      </c>
      <c r="J45" s="46" t="e">
        <f>+IF(A45&lt;=50,A!$G$45*(1-((A45-(-9))/(50-(-9)))),NA())</f>
        <v>#N/A</v>
      </c>
      <c r="K45" s="46" t="e">
        <f>+(IF(A45&gt;=70,A!$G$46*(1-((88-A45)/(88-70))),NA()))</f>
        <v>#N/A</v>
      </c>
      <c r="L45" s="63" t="e">
        <f>++IF('HVAC sizing letter'!$C$14="No",NA(),IF(A45&gt;-8,IF(E45="YES",IF(ISBLANK('HVAC sizing letter'!$C$25),IF($A45&lt;17,0,IF($A45&lt;47,$A45*'CALC-INPUTS'!$C$3+'CALC-INPUTS'!$D$3,IF($A45&lt;50,'CALC-INPUTS'!$B$3,NA()))),IF($A45&lt;5,0,IF($A45&lt;17,$A45*'CALC-INPUTS'!$C$4+'CALC-INPUTS'!$D$4,IF($A45&lt;47,$A45*'CALC-INPUTS'!$C$3+'CALC-INPUTS'!$D$3,IF($A45&lt;50,'CALC-INPUTS'!$B$3,NA()))))),NA()),NA()))</f>
        <v>#N/A</v>
      </c>
      <c r="M45" s="63" t="e">
        <f>IF('HVAC sizing letter'!$C$14="No",NA(),IF(A45&gt;-8,IF(E45="YES",D45,NA()),NA()))</f>
        <v>#N/A</v>
      </c>
      <c r="N45" s="63" t="e">
        <f t="shared" si="4"/>
        <v>#N/A</v>
      </c>
    </row>
    <row r="46" spans="1:14" x14ac:dyDescent="0.25">
      <c r="A46" s="37">
        <v>68</v>
      </c>
      <c r="B46" s="37">
        <v>279</v>
      </c>
      <c r="C46" s="46">
        <f>IF(ISBLANK('HVAC sizing letter'!$C$25),IF($A46&lt;17,0,IF($A46&lt;47,$A46*'CALC-INPUTS'!$C$3+'CALC-INPUTS'!$D$3,IF($A46&lt;50,'CALC-INPUTS'!$B$3,0))),IF($A46&lt;5,0,IF($A46&lt;17,$A46*'CALC-INPUTS'!$C$4+'CALC-INPUTS'!$D$4,IF($A46&lt;47,$A46*'CALC-INPUTS'!$C$3+'CALC-INPUTS'!$D$3,IF($A46&lt;50,'CALC-INPUTS'!$B$3,0)))))</f>
        <v>0</v>
      </c>
      <c r="D46" s="46">
        <f>+(IF(A46&lt;=50,A!$G$45*(1-((A46-(-9))/(50-(-9)))),IF(AND(A46&gt;50,A46&lt;70),0,A!$G$46*(1-((88-A46)/(88-70))))))</f>
        <v>0</v>
      </c>
      <c r="E46" s="46" t="str">
        <f t="shared" si="0"/>
        <v>NO</v>
      </c>
      <c r="F46" s="46" t="str">
        <f t="shared" si="1"/>
        <v/>
      </c>
      <c r="G46" s="46">
        <f t="shared" si="2"/>
        <v>0</v>
      </c>
      <c r="H46" s="46">
        <f t="shared" si="3"/>
        <v>0</v>
      </c>
      <c r="I46" s="46" t="e">
        <f>IF(ISBLANK('HVAC sizing letter'!$C$25),IF($A46&lt;17,NA(),IF($A46&lt;47,$A46*'CALC-INPUTS'!$C$3+'CALC-INPUTS'!$D$3,IF($A46&lt;50,'CALC-INPUTS'!$B$3,NA()))),IF($A46&lt;5,NA(),IF($A46&lt;17,$A46*'CALC-INPUTS'!$C$4+'CALC-INPUTS'!$D$4,IF($A46&lt;47,$A46*'CALC-INPUTS'!$C$3+'CALC-INPUTS'!$D$3,IF($A46&lt;50,'CALC-INPUTS'!$B$3,NA())))))</f>
        <v>#N/A</v>
      </c>
      <c r="J46" s="46" t="e">
        <f>+IF(A46&lt;=50,A!$G$45*(1-((A46-(-9))/(50-(-9)))),NA())</f>
        <v>#N/A</v>
      </c>
      <c r="K46" s="46" t="e">
        <f>+(IF(A46&gt;=70,A!$G$46*(1-((88-A46)/(88-70))),NA()))</f>
        <v>#N/A</v>
      </c>
      <c r="L46" s="63" t="e">
        <f>++IF('HVAC sizing letter'!$C$14="No",NA(),IF(A46&gt;-8,IF(E46="YES",IF(ISBLANK('HVAC sizing letter'!$C$25),IF($A46&lt;17,0,IF($A46&lt;47,$A46*'CALC-INPUTS'!$C$3+'CALC-INPUTS'!$D$3,IF($A46&lt;50,'CALC-INPUTS'!$B$3,NA()))),IF($A46&lt;5,0,IF($A46&lt;17,$A46*'CALC-INPUTS'!$C$4+'CALC-INPUTS'!$D$4,IF($A46&lt;47,$A46*'CALC-INPUTS'!$C$3+'CALC-INPUTS'!$D$3,IF($A46&lt;50,'CALC-INPUTS'!$B$3,NA()))))),NA()),NA()))</f>
        <v>#N/A</v>
      </c>
      <c r="M46" s="63" t="e">
        <f>IF('HVAC sizing letter'!$C$14="No",NA(),IF(A46&gt;-8,IF(E46="YES",D46,NA()),NA()))</f>
        <v>#N/A</v>
      </c>
      <c r="N46" s="63" t="e">
        <f t="shared" si="4"/>
        <v>#N/A</v>
      </c>
    </row>
    <row r="47" spans="1:14" x14ac:dyDescent="0.25">
      <c r="A47" s="37">
        <v>70</v>
      </c>
      <c r="B47" s="37">
        <v>381</v>
      </c>
      <c r="C47" s="46">
        <f>IF(ISBLANK('HVAC sizing letter'!$C$25),IF($A47&lt;17,0,IF($A47&lt;47,$A47*'CALC-INPUTS'!$C$3+'CALC-INPUTS'!$D$3,IF($A47&lt;50,'CALC-INPUTS'!$B$3,0))),IF($A47&lt;5,0,IF($A47&lt;17,$A47*'CALC-INPUTS'!$C$4+'CALC-INPUTS'!$D$4,IF($A47&lt;47,$A47*'CALC-INPUTS'!$C$3+'CALC-INPUTS'!$D$3,IF($A47&lt;50,'CALC-INPUTS'!$B$3,0)))))</f>
        <v>0</v>
      </c>
      <c r="D47" s="46" t="e">
        <f>+(IF(A47&lt;=50,A!$G$45*(1-((A47-(-9))/(50-(-9)))),IF(AND(A47&gt;50,A47&lt;70),0,A!$G$46*(1-((88-A47)/(88-70))))))</f>
        <v>#VALUE!</v>
      </c>
      <c r="E47" s="46" t="str">
        <f t="shared" si="0"/>
        <v>NO</v>
      </c>
      <c r="F47" s="46" t="str">
        <f t="shared" si="1"/>
        <v/>
      </c>
      <c r="G47" s="46">
        <f t="shared" si="2"/>
        <v>0</v>
      </c>
      <c r="H47" s="46">
        <f t="shared" si="3"/>
        <v>0</v>
      </c>
      <c r="I47" s="46" t="e">
        <f>IF(ISBLANK('HVAC sizing letter'!$C$25),IF($A47&lt;17,NA(),IF($A47&lt;47,$A47*'CALC-INPUTS'!$C$3+'CALC-INPUTS'!$D$3,IF($A47&lt;50,'CALC-INPUTS'!$B$3,NA()))),IF($A47&lt;5,NA(),IF($A47&lt;17,$A47*'CALC-INPUTS'!$C$4+'CALC-INPUTS'!$D$4,IF($A47&lt;47,$A47*'CALC-INPUTS'!$C$3+'CALC-INPUTS'!$D$3,IF($A47&lt;50,'CALC-INPUTS'!$B$3,NA())))))</f>
        <v>#N/A</v>
      </c>
      <c r="J47" s="46" t="e">
        <f>+IF(A47&lt;=50,A!$G$45*(1-((A47-(-9))/(50-(-9)))),NA())</f>
        <v>#N/A</v>
      </c>
      <c r="K47" s="46" t="e">
        <f>+(IF(A47&gt;=70,A!$G$46*(1-((88-A47)/(88-70))),NA()))</f>
        <v>#VALUE!</v>
      </c>
      <c r="L47" s="63" t="e">
        <f>++IF('HVAC sizing letter'!$C$14="No",NA(),IF(A47&gt;-8,IF(E47="YES",IF(ISBLANK('HVAC sizing letter'!$C$25),IF($A47&lt;17,0,IF($A47&lt;47,$A47*'CALC-INPUTS'!$C$3+'CALC-INPUTS'!$D$3,IF($A47&lt;50,'CALC-INPUTS'!$B$3,NA()))),IF($A47&lt;5,0,IF($A47&lt;17,$A47*'CALC-INPUTS'!$C$4+'CALC-INPUTS'!$D$4,IF($A47&lt;47,$A47*'CALC-INPUTS'!$C$3+'CALC-INPUTS'!$D$3,IF($A47&lt;50,'CALC-INPUTS'!$B$3,NA()))))),NA()),NA()))</f>
        <v>#N/A</v>
      </c>
      <c r="M47" s="63" t="e">
        <f>IF('HVAC sizing letter'!$C$14="No",NA(),IF(A47&gt;-8,IF(E47="YES",D47,NA()),NA()))</f>
        <v>#N/A</v>
      </c>
      <c r="N47" s="63" t="e">
        <f t="shared" si="4"/>
        <v>#N/A</v>
      </c>
    </row>
    <row r="48" spans="1:14" x14ac:dyDescent="0.25">
      <c r="A48" s="37">
        <v>72</v>
      </c>
      <c r="B48" s="37">
        <v>233</v>
      </c>
      <c r="C48" s="46">
        <f>IF(ISBLANK('HVAC sizing letter'!$C$25),IF($A48&lt;17,0,IF($A48&lt;47,$A48*'CALC-INPUTS'!$C$3+'CALC-INPUTS'!$D$3,IF($A48&lt;50,'CALC-INPUTS'!$B$3,0))),IF($A48&lt;5,0,IF($A48&lt;17,$A48*'CALC-INPUTS'!$C$4+'CALC-INPUTS'!$D$4,IF($A48&lt;47,$A48*'CALC-INPUTS'!$C$3+'CALC-INPUTS'!$D$3,IF($A48&lt;50,'CALC-INPUTS'!$B$3,0)))))</f>
        <v>0</v>
      </c>
      <c r="D48" s="46" t="e">
        <f>+(IF(A48&lt;=50,A!$G$45*(1-((A48-(-9))/(50-(-9)))),IF(AND(A48&gt;50,A48&lt;70),0,A!$G$46*(1-((88-A48)/(88-70))))))</f>
        <v>#VALUE!</v>
      </c>
      <c r="E48" s="46" t="str">
        <f t="shared" si="0"/>
        <v>NO</v>
      </c>
      <c r="F48" s="46" t="str">
        <f t="shared" si="1"/>
        <v/>
      </c>
      <c r="G48" s="46">
        <f t="shared" si="2"/>
        <v>0</v>
      </c>
      <c r="H48" s="46">
        <f t="shared" si="3"/>
        <v>0</v>
      </c>
      <c r="I48" s="46" t="e">
        <f>IF(ISBLANK('HVAC sizing letter'!$C$25),IF($A48&lt;17,NA(),IF($A48&lt;47,$A48*'CALC-INPUTS'!$C$3+'CALC-INPUTS'!$D$3,IF($A48&lt;50,'CALC-INPUTS'!$B$3,NA()))),IF($A48&lt;5,NA(),IF($A48&lt;17,$A48*'CALC-INPUTS'!$C$4+'CALC-INPUTS'!$D$4,IF($A48&lt;47,$A48*'CALC-INPUTS'!$C$3+'CALC-INPUTS'!$D$3,IF($A48&lt;50,'CALC-INPUTS'!$B$3,NA())))))</f>
        <v>#N/A</v>
      </c>
      <c r="J48" s="46" t="e">
        <f>+IF(A48&lt;=50,A!$G$45*(1-((A48-(-9))/(50-(-9)))),NA())</f>
        <v>#N/A</v>
      </c>
      <c r="K48" s="46" t="e">
        <f>+(IF(A48&gt;=70,A!$G$46*(1-((88-A48)/(88-70))),NA()))</f>
        <v>#VALUE!</v>
      </c>
      <c r="L48" s="63" t="e">
        <f>++IF('HVAC sizing letter'!$C$14="No",NA(),IF(A48&gt;-8,IF(E48="YES",IF(ISBLANK('HVAC sizing letter'!$C$25),IF($A48&lt;17,0,IF($A48&lt;47,$A48*'CALC-INPUTS'!$C$3+'CALC-INPUTS'!$D$3,IF($A48&lt;50,'CALC-INPUTS'!$B$3,NA()))),IF($A48&lt;5,0,IF($A48&lt;17,$A48*'CALC-INPUTS'!$C$4+'CALC-INPUTS'!$D$4,IF($A48&lt;47,$A48*'CALC-INPUTS'!$C$3+'CALC-INPUTS'!$D$3,IF($A48&lt;50,'CALC-INPUTS'!$B$3,NA()))))),NA()),NA()))</f>
        <v>#N/A</v>
      </c>
      <c r="M48" s="63" t="e">
        <f>IF('HVAC sizing letter'!$C$14="No",NA(),IF(A48&gt;-8,IF(E48="YES",D48,NA()),NA()))</f>
        <v>#N/A</v>
      </c>
      <c r="N48" s="63" t="e">
        <f t="shared" si="4"/>
        <v>#N/A</v>
      </c>
    </row>
    <row r="49" spans="1:14" x14ac:dyDescent="0.25">
      <c r="A49" s="37">
        <v>74</v>
      </c>
      <c r="B49" s="37">
        <v>268</v>
      </c>
      <c r="C49" s="46">
        <f>IF(ISBLANK('HVAC sizing letter'!$C$25),IF($A49&lt;17,0,IF($A49&lt;47,$A49*'CALC-INPUTS'!$C$3+'CALC-INPUTS'!$D$3,IF($A49&lt;50,'CALC-INPUTS'!$B$3,0))),IF($A49&lt;5,0,IF($A49&lt;17,$A49*'CALC-INPUTS'!$C$4+'CALC-INPUTS'!$D$4,IF($A49&lt;47,$A49*'CALC-INPUTS'!$C$3+'CALC-INPUTS'!$D$3,IF($A49&lt;50,'CALC-INPUTS'!$B$3,0)))))</f>
        <v>0</v>
      </c>
      <c r="D49" s="46" t="e">
        <f>+(IF(A49&lt;=50,A!$G$45*(1-((A49-(-9))/(50-(-9)))),IF(AND(A49&gt;50,A49&lt;70),0,A!$G$46*(1-((88-A49)/(88-70))))))</f>
        <v>#VALUE!</v>
      </c>
      <c r="E49" s="46" t="str">
        <f t="shared" si="0"/>
        <v>NO</v>
      </c>
      <c r="F49" s="46" t="str">
        <f t="shared" si="1"/>
        <v/>
      </c>
      <c r="G49" s="46">
        <f t="shared" si="2"/>
        <v>0</v>
      </c>
      <c r="H49" s="46">
        <f t="shared" si="3"/>
        <v>0</v>
      </c>
      <c r="I49" s="46" t="e">
        <f>IF(ISBLANK('HVAC sizing letter'!$C$25),IF($A49&lt;17,NA(),IF($A49&lt;47,$A49*'CALC-INPUTS'!$C$3+'CALC-INPUTS'!$D$3,IF($A49&lt;50,'CALC-INPUTS'!$B$3,NA()))),IF($A49&lt;5,NA(),IF($A49&lt;17,$A49*'CALC-INPUTS'!$C$4+'CALC-INPUTS'!$D$4,IF($A49&lt;47,$A49*'CALC-INPUTS'!$C$3+'CALC-INPUTS'!$D$3,IF($A49&lt;50,'CALC-INPUTS'!$B$3,NA())))))</f>
        <v>#N/A</v>
      </c>
      <c r="J49" s="46" t="e">
        <f>+IF(A49&lt;=50,A!$G$45*(1-((A49-(-9))/(50-(-9)))),NA())</f>
        <v>#N/A</v>
      </c>
      <c r="K49" s="46" t="e">
        <f>+(IF(A49&gt;=70,A!$G$46*(1-((88-A49)/(88-70))),NA()))</f>
        <v>#VALUE!</v>
      </c>
      <c r="L49" s="63" t="e">
        <f>++IF('HVAC sizing letter'!$C$14="No",NA(),IF(A49&gt;-8,IF(E49="YES",IF(ISBLANK('HVAC sizing letter'!$C$25),IF($A49&lt;17,0,IF($A49&lt;47,$A49*'CALC-INPUTS'!$C$3+'CALC-INPUTS'!$D$3,IF($A49&lt;50,'CALC-INPUTS'!$B$3,NA()))),IF($A49&lt;5,0,IF($A49&lt;17,$A49*'CALC-INPUTS'!$C$4+'CALC-INPUTS'!$D$4,IF($A49&lt;47,$A49*'CALC-INPUTS'!$C$3+'CALC-INPUTS'!$D$3,IF($A49&lt;50,'CALC-INPUTS'!$B$3,NA()))))),NA()),NA()))</f>
        <v>#N/A</v>
      </c>
      <c r="M49" s="63" t="e">
        <f>IF('HVAC sizing letter'!$C$14="No",NA(),IF(A49&gt;-8,IF(E49="YES",D49,NA()),NA()))</f>
        <v>#N/A</v>
      </c>
      <c r="N49" s="63" t="e">
        <f t="shared" si="4"/>
        <v>#N/A</v>
      </c>
    </row>
    <row r="50" spans="1:14" x14ac:dyDescent="0.25">
      <c r="A50" s="37">
        <v>76</v>
      </c>
      <c r="B50" s="37">
        <v>221</v>
      </c>
      <c r="C50" s="46">
        <f>IF(ISBLANK('HVAC sizing letter'!$C$25),IF($A50&lt;17,0,IF($A50&lt;47,$A50*'CALC-INPUTS'!$C$3+'CALC-INPUTS'!$D$3,IF($A50&lt;50,'CALC-INPUTS'!$B$3,0))),IF($A50&lt;5,0,IF($A50&lt;17,$A50*'CALC-INPUTS'!$C$4+'CALC-INPUTS'!$D$4,IF($A50&lt;47,$A50*'CALC-INPUTS'!$C$3+'CALC-INPUTS'!$D$3,IF($A50&lt;50,'CALC-INPUTS'!$B$3,0)))))</f>
        <v>0</v>
      </c>
      <c r="D50" s="46" t="e">
        <f>+(IF(A50&lt;=50,A!$G$45*(1-((A50-(-9))/(50-(-9)))),IF(AND(A50&gt;50,A50&lt;70),0,A!$G$46*(1-((88-A50)/(88-70))))))</f>
        <v>#VALUE!</v>
      </c>
      <c r="E50" s="46" t="str">
        <f t="shared" si="0"/>
        <v>NO</v>
      </c>
      <c r="F50" s="46" t="str">
        <f t="shared" si="1"/>
        <v/>
      </c>
      <c r="G50" s="46">
        <f t="shared" si="2"/>
        <v>0</v>
      </c>
      <c r="H50" s="46">
        <f t="shared" si="3"/>
        <v>0</v>
      </c>
      <c r="I50" s="46" t="e">
        <f>IF(ISBLANK('HVAC sizing letter'!$C$25),IF($A50&lt;17,NA(),IF($A50&lt;47,$A50*'CALC-INPUTS'!$C$3+'CALC-INPUTS'!$D$3,IF($A50&lt;50,'CALC-INPUTS'!$B$3,NA()))),IF($A50&lt;5,NA(),IF($A50&lt;17,$A50*'CALC-INPUTS'!$C$4+'CALC-INPUTS'!$D$4,IF($A50&lt;47,$A50*'CALC-INPUTS'!$C$3+'CALC-INPUTS'!$D$3,IF($A50&lt;50,'CALC-INPUTS'!$B$3,NA())))))</f>
        <v>#N/A</v>
      </c>
      <c r="J50" s="46" t="e">
        <f>+IF(A50&lt;=50,A!$G$45*(1-((A50-(-9))/(50-(-9)))),NA())</f>
        <v>#N/A</v>
      </c>
      <c r="K50" s="46" t="e">
        <f>+(IF(A50&gt;=70,A!$G$46*(1-((88-A50)/(88-70))),NA()))</f>
        <v>#VALUE!</v>
      </c>
      <c r="L50" s="63" t="e">
        <f>++IF('HVAC sizing letter'!$C$14="No",NA(),IF(A50&gt;-8,IF(E50="YES",IF(ISBLANK('HVAC sizing letter'!$C$25),IF($A50&lt;17,0,IF($A50&lt;47,$A50*'CALC-INPUTS'!$C$3+'CALC-INPUTS'!$D$3,IF($A50&lt;50,'CALC-INPUTS'!$B$3,NA()))),IF($A50&lt;5,0,IF($A50&lt;17,$A50*'CALC-INPUTS'!$C$4+'CALC-INPUTS'!$D$4,IF($A50&lt;47,$A50*'CALC-INPUTS'!$C$3+'CALC-INPUTS'!$D$3,IF($A50&lt;50,'CALC-INPUTS'!$B$3,NA()))))),NA()),NA()))</f>
        <v>#N/A</v>
      </c>
      <c r="M50" s="63" t="e">
        <f>IF('HVAC sizing letter'!$C$14="No",NA(),IF(A50&gt;-8,IF(E50="YES",D50,NA()),NA()))</f>
        <v>#N/A</v>
      </c>
      <c r="N50" s="63" t="e">
        <f t="shared" si="4"/>
        <v>#N/A</v>
      </c>
    </row>
    <row r="51" spans="1:14" x14ac:dyDescent="0.25">
      <c r="A51" s="37">
        <v>78</v>
      </c>
      <c r="B51" s="37">
        <v>115</v>
      </c>
      <c r="C51" s="46">
        <f>IF(ISBLANK('HVAC sizing letter'!$C$25),IF($A51&lt;17,0,IF($A51&lt;47,$A51*'CALC-INPUTS'!$C$3+'CALC-INPUTS'!$D$3,IF($A51&lt;50,'CALC-INPUTS'!$B$3,0))),IF($A51&lt;5,0,IF($A51&lt;17,$A51*'CALC-INPUTS'!$C$4+'CALC-INPUTS'!$D$4,IF($A51&lt;47,$A51*'CALC-INPUTS'!$C$3+'CALC-INPUTS'!$D$3,IF($A51&lt;50,'CALC-INPUTS'!$B$3,0)))))</f>
        <v>0</v>
      </c>
      <c r="D51" s="46" t="e">
        <f>+(IF(A51&lt;=50,A!$G$45*(1-((A51-(-9))/(50-(-9)))),IF(AND(A51&gt;50,A51&lt;70),0,A!$G$46*(1-((88-A51)/(88-70))))))</f>
        <v>#VALUE!</v>
      </c>
      <c r="E51" s="46" t="str">
        <f t="shared" si="0"/>
        <v>NO</v>
      </c>
      <c r="F51" s="46" t="str">
        <f t="shared" si="1"/>
        <v/>
      </c>
      <c r="G51" s="46">
        <f t="shared" si="2"/>
        <v>0</v>
      </c>
      <c r="H51" s="46">
        <f t="shared" si="3"/>
        <v>0</v>
      </c>
      <c r="I51" s="46" t="e">
        <f>IF(ISBLANK('HVAC sizing letter'!$C$25),IF($A51&lt;17,NA(),IF($A51&lt;47,$A51*'CALC-INPUTS'!$C$3+'CALC-INPUTS'!$D$3,IF($A51&lt;50,'CALC-INPUTS'!$B$3,NA()))),IF($A51&lt;5,NA(),IF($A51&lt;17,$A51*'CALC-INPUTS'!$C$4+'CALC-INPUTS'!$D$4,IF($A51&lt;47,$A51*'CALC-INPUTS'!$C$3+'CALC-INPUTS'!$D$3,IF($A51&lt;50,'CALC-INPUTS'!$B$3,NA())))))</f>
        <v>#N/A</v>
      </c>
      <c r="J51" s="46" t="e">
        <f>+IF(A51&lt;=50,A!$G$45*(1-((A51-(-9))/(50-(-9)))),NA())</f>
        <v>#N/A</v>
      </c>
      <c r="K51" s="46" t="e">
        <f>+(IF(A51&gt;=70,A!$G$46*(1-((88-A51)/(88-70))),NA()))</f>
        <v>#VALUE!</v>
      </c>
      <c r="L51" s="63" t="e">
        <f>++IF('HVAC sizing letter'!$C$14="No",NA(),IF(A51&gt;-8,IF(E51="YES",IF(ISBLANK('HVAC sizing letter'!$C$25),IF($A51&lt;17,0,IF($A51&lt;47,$A51*'CALC-INPUTS'!$C$3+'CALC-INPUTS'!$D$3,IF($A51&lt;50,'CALC-INPUTS'!$B$3,NA()))),IF($A51&lt;5,0,IF($A51&lt;17,$A51*'CALC-INPUTS'!$C$4+'CALC-INPUTS'!$D$4,IF($A51&lt;47,$A51*'CALC-INPUTS'!$C$3+'CALC-INPUTS'!$D$3,IF($A51&lt;50,'CALC-INPUTS'!$B$3,NA()))))),NA()),NA()))</f>
        <v>#N/A</v>
      </c>
      <c r="M51" s="63" t="e">
        <f>IF('HVAC sizing letter'!$C$14="No",NA(),IF(A51&gt;-8,IF(E51="YES",D51,NA()),NA()))</f>
        <v>#N/A</v>
      </c>
      <c r="N51" s="63" t="e">
        <f t="shared" si="4"/>
        <v>#N/A</v>
      </c>
    </row>
    <row r="52" spans="1:14" x14ac:dyDescent="0.25">
      <c r="A52" s="37">
        <v>80</v>
      </c>
      <c r="B52" s="37">
        <v>177</v>
      </c>
      <c r="C52" s="46">
        <f>IF(ISBLANK('HVAC sizing letter'!$C$25),IF($A52&lt;17,0,IF($A52&lt;47,$A52*'CALC-INPUTS'!$C$3+'CALC-INPUTS'!$D$3,IF($A52&lt;50,'CALC-INPUTS'!$B$3,0))),IF($A52&lt;5,0,IF($A52&lt;17,$A52*'CALC-INPUTS'!$C$4+'CALC-INPUTS'!$D$4,IF($A52&lt;47,$A52*'CALC-INPUTS'!$C$3+'CALC-INPUTS'!$D$3,IF($A52&lt;50,'CALC-INPUTS'!$B$3,0)))))</f>
        <v>0</v>
      </c>
      <c r="D52" s="46" t="e">
        <f>+(IF(A52&lt;=50,A!$G$45*(1-((A52-(-9))/(50-(-9)))),IF(AND(A52&gt;50,A52&lt;70),0,A!$G$46*(1-((88-A52)/(88-70))))))</f>
        <v>#VALUE!</v>
      </c>
      <c r="E52" s="46" t="str">
        <f t="shared" si="0"/>
        <v>NO</v>
      </c>
      <c r="F52" s="46" t="str">
        <f t="shared" si="1"/>
        <v/>
      </c>
      <c r="G52" s="46">
        <f t="shared" si="2"/>
        <v>0</v>
      </c>
      <c r="H52" s="46">
        <f t="shared" si="3"/>
        <v>0</v>
      </c>
      <c r="I52" s="46" t="e">
        <f>IF(ISBLANK('HVAC sizing letter'!$C$25),IF($A52&lt;17,NA(),IF($A52&lt;47,$A52*'CALC-INPUTS'!$C$3+'CALC-INPUTS'!$D$3,IF($A52&lt;50,'CALC-INPUTS'!$B$3,NA()))),IF($A52&lt;5,NA(),IF($A52&lt;17,$A52*'CALC-INPUTS'!$C$4+'CALC-INPUTS'!$D$4,IF($A52&lt;47,$A52*'CALC-INPUTS'!$C$3+'CALC-INPUTS'!$D$3,IF($A52&lt;50,'CALC-INPUTS'!$B$3,NA())))))</f>
        <v>#N/A</v>
      </c>
      <c r="J52" s="46" t="e">
        <f>+IF(A52&lt;=50,A!$G$45*(1-((A52-(-9))/(50-(-9)))),NA())</f>
        <v>#N/A</v>
      </c>
      <c r="K52" s="46" t="e">
        <f>+(IF(A52&gt;=70,A!$G$46*(1-((88-A52)/(88-70))),NA()))</f>
        <v>#VALUE!</v>
      </c>
      <c r="L52" s="63" t="e">
        <f>++IF('HVAC sizing letter'!$C$14="No",NA(),IF(A52&gt;-8,IF(E52="YES",IF(ISBLANK('HVAC sizing letter'!$C$25),IF($A52&lt;17,0,IF($A52&lt;47,$A52*'CALC-INPUTS'!$C$3+'CALC-INPUTS'!$D$3,IF($A52&lt;50,'CALC-INPUTS'!$B$3,NA()))),IF($A52&lt;5,0,IF($A52&lt;17,$A52*'CALC-INPUTS'!$C$4+'CALC-INPUTS'!$D$4,IF($A52&lt;47,$A52*'CALC-INPUTS'!$C$3+'CALC-INPUTS'!$D$3,IF($A52&lt;50,'CALC-INPUTS'!$B$3,NA()))))),NA()),NA()))</f>
        <v>#N/A</v>
      </c>
      <c r="M52" s="63" t="e">
        <f>IF('HVAC sizing letter'!$C$14="No",NA(),IF(A52&gt;-8,IF(E52="YES",D52,NA()),NA()))</f>
        <v>#N/A</v>
      </c>
      <c r="N52" s="63" t="e">
        <f t="shared" si="4"/>
        <v>#N/A</v>
      </c>
    </row>
    <row r="53" spans="1:14" x14ac:dyDescent="0.25">
      <c r="A53" s="37">
        <v>82</v>
      </c>
      <c r="B53" s="37">
        <v>201</v>
      </c>
      <c r="C53" s="46">
        <f>IF(ISBLANK('HVAC sizing letter'!$C$25),IF($A53&lt;17,0,IF($A53&lt;47,$A53*'CALC-INPUTS'!$C$3+'CALC-INPUTS'!$D$3,IF($A53&lt;50,'CALC-INPUTS'!$B$3,0))),IF($A53&lt;5,0,IF($A53&lt;17,$A53*'CALC-INPUTS'!$C$4+'CALC-INPUTS'!$D$4,IF($A53&lt;47,$A53*'CALC-INPUTS'!$C$3+'CALC-INPUTS'!$D$3,IF($A53&lt;50,'CALC-INPUTS'!$B$3,0)))))</f>
        <v>0</v>
      </c>
      <c r="D53" s="46" t="e">
        <f>+(IF(A53&lt;=50,A!$G$45*(1-((A53-(-9))/(50-(-9)))),IF(AND(A53&gt;50,A53&lt;70),0,A!$G$46*(1-((88-A53)/(88-70))))))</f>
        <v>#VALUE!</v>
      </c>
      <c r="E53" s="46" t="str">
        <f t="shared" si="0"/>
        <v>NO</v>
      </c>
      <c r="F53" s="46" t="str">
        <f t="shared" si="1"/>
        <v/>
      </c>
      <c r="G53" s="46">
        <f t="shared" si="2"/>
        <v>0</v>
      </c>
      <c r="H53" s="46">
        <f t="shared" si="3"/>
        <v>0</v>
      </c>
      <c r="I53" s="46" t="e">
        <f>IF(ISBLANK('HVAC sizing letter'!$C$25),IF($A53&lt;17,NA(),IF($A53&lt;47,$A53*'CALC-INPUTS'!$C$3+'CALC-INPUTS'!$D$3,IF($A53&lt;50,'CALC-INPUTS'!$B$3,NA()))),IF($A53&lt;5,NA(),IF($A53&lt;17,$A53*'CALC-INPUTS'!$C$4+'CALC-INPUTS'!$D$4,IF($A53&lt;47,$A53*'CALC-INPUTS'!$C$3+'CALC-INPUTS'!$D$3,IF($A53&lt;50,'CALC-INPUTS'!$B$3,NA())))))</f>
        <v>#N/A</v>
      </c>
      <c r="J53" s="46" t="e">
        <f>+IF(A53&lt;=50,A!$G$45*(1-((A53-(-9))/(50-(-9)))),NA())</f>
        <v>#N/A</v>
      </c>
      <c r="K53" s="46" t="e">
        <f>+(IF(A53&gt;=70,A!$G$46*(1-((88-A53)/(88-70))),NA()))</f>
        <v>#VALUE!</v>
      </c>
      <c r="L53" s="63" t="e">
        <f>++IF('HVAC sizing letter'!$C$14="No",NA(),IF(A53&gt;-8,IF(E53="YES",IF(ISBLANK('HVAC sizing letter'!$C$25),IF($A53&lt;17,0,IF($A53&lt;47,$A53*'CALC-INPUTS'!$C$3+'CALC-INPUTS'!$D$3,IF($A53&lt;50,'CALC-INPUTS'!$B$3,NA()))),IF($A53&lt;5,0,IF($A53&lt;17,$A53*'CALC-INPUTS'!$C$4+'CALC-INPUTS'!$D$4,IF($A53&lt;47,$A53*'CALC-INPUTS'!$C$3+'CALC-INPUTS'!$D$3,IF($A53&lt;50,'CALC-INPUTS'!$B$3,NA()))))),NA()),NA()))</f>
        <v>#N/A</v>
      </c>
      <c r="M53" s="63" t="e">
        <f>IF('HVAC sizing letter'!$C$14="No",NA(),IF(A53&gt;-8,IF(E53="YES",D53,NA()),NA()))</f>
        <v>#N/A</v>
      </c>
      <c r="N53" s="63" t="e">
        <f t="shared" si="4"/>
        <v>#N/A</v>
      </c>
    </row>
    <row r="54" spans="1:14" x14ac:dyDescent="0.25">
      <c r="A54" s="37">
        <v>84</v>
      </c>
      <c r="B54" s="37">
        <v>168</v>
      </c>
      <c r="C54" s="46">
        <f>IF(ISBLANK('HVAC sizing letter'!$C$25),IF($A54&lt;17,0,IF($A54&lt;47,$A54*'CALC-INPUTS'!$C$3+'CALC-INPUTS'!$D$3,IF($A54&lt;50,'CALC-INPUTS'!$B$3,0))),IF($A54&lt;5,0,IF($A54&lt;17,$A54*'CALC-INPUTS'!$C$4+'CALC-INPUTS'!$D$4,IF($A54&lt;47,$A54*'CALC-INPUTS'!$C$3+'CALC-INPUTS'!$D$3,IF($A54&lt;50,'CALC-INPUTS'!$B$3,0)))))</f>
        <v>0</v>
      </c>
      <c r="D54" s="46" t="e">
        <f>+(IF(A54&lt;=50,A!$G$45*(1-((A54-(-9))/(50-(-9)))),IF(AND(A54&gt;50,A54&lt;70),0,A!$G$46*(1-((88-A54)/(88-70))))))</f>
        <v>#VALUE!</v>
      </c>
      <c r="E54" s="46" t="str">
        <f t="shared" si="0"/>
        <v>NO</v>
      </c>
      <c r="F54" s="46" t="str">
        <f t="shared" si="1"/>
        <v/>
      </c>
      <c r="G54" s="46">
        <f t="shared" si="2"/>
        <v>0</v>
      </c>
      <c r="H54" s="46">
        <f t="shared" si="3"/>
        <v>0</v>
      </c>
      <c r="I54" s="46" t="e">
        <f>IF(ISBLANK('HVAC sizing letter'!$C$25),IF($A54&lt;17,NA(),IF($A54&lt;47,$A54*'CALC-INPUTS'!$C$3+'CALC-INPUTS'!$D$3,IF($A54&lt;50,'CALC-INPUTS'!$B$3,NA()))),IF($A54&lt;5,NA(),IF($A54&lt;17,$A54*'CALC-INPUTS'!$C$4+'CALC-INPUTS'!$D$4,IF($A54&lt;47,$A54*'CALC-INPUTS'!$C$3+'CALC-INPUTS'!$D$3,IF($A54&lt;50,'CALC-INPUTS'!$B$3,NA())))))</f>
        <v>#N/A</v>
      </c>
      <c r="J54" s="46" t="e">
        <f>+IF(A54&lt;=50,A!$G$45*(1-((A54-(-9))/(50-(-9)))),NA())</f>
        <v>#N/A</v>
      </c>
      <c r="K54" s="46" t="e">
        <f>+(IF(A54&gt;=70,A!$G$46*(1-((88-A54)/(88-70))),NA()))</f>
        <v>#VALUE!</v>
      </c>
      <c r="L54" s="63" t="e">
        <f>++IF('HVAC sizing letter'!$C$14="No",NA(),IF(A54&gt;-8,IF(E54="YES",IF(ISBLANK('HVAC sizing letter'!$C$25),IF($A54&lt;17,0,IF($A54&lt;47,$A54*'CALC-INPUTS'!$C$3+'CALC-INPUTS'!$D$3,IF($A54&lt;50,'CALC-INPUTS'!$B$3,NA()))),IF($A54&lt;5,0,IF($A54&lt;17,$A54*'CALC-INPUTS'!$C$4+'CALC-INPUTS'!$D$4,IF($A54&lt;47,$A54*'CALC-INPUTS'!$C$3+'CALC-INPUTS'!$D$3,IF($A54&lt;50,'CALC-INPUTS'!$B$3,NA()))))),NA()),NA()))</f>
        <v>#N/A</v>
      </c>
      <c r="M54" s="63" t="e">
        <f>IF('HVAC sizing letter'!$C$14="No",NA(),IF(A54&gt;-8,IF(E54="YES",D54,NA()),NA()))</f>
        <v>#N/A</v>
      </c>
      <c r="N54" s="63" t="e">
        <f t="shared" si="4"/>
        <v>#N/A</v>
      </c>
    </row>
    <row r="55" spans="1:14" x14ac:dyDescent="0.25">
      <c r="A55" s="37">
        <v>86</v>
      </c>
      <c r="B55" s="37">
        <v>145</v>
      </c>
      <c r="C55" s="46">
        <f>IF(ISBLANK('HVAC sizing letter'!$C$25),IF($A55&lt;17,0,IF($A55&lt;47,$A55*'CALC-INPUTS'!$C$3+'CALC-INPUTS'!$D$3,IF($A55&lt;50,'CALC-INPUTS'!$B$3,0))),IF($A55&lt;5,0,IF($A55&lt;17,$A55*'CALC-INPUTS'!$C$4+'CALC-INPUTS'!$D$4,IF($A55&lt;47,$A55*'CALC-INPUTS'!$C$3+'CALC-INPUTS'!$D$3,IF($A55&lt;50,'CALC-INPUTS'!$B$3,0)))))</f>
        <v>0</v>
      </c>
      <c r="D55" s="46" t="e">
        <f>+(IF(A55&lt;=50,A!$G$45*(1-((A55-(-9))/(50-(-9)))),IF(AND(A55&gt;50,A55&lt;70),0,A!$G$46*(1-((88-A55)/(88-70))))))</f>
        <v>#VALUE!</v>
      </c>
      <c r="E55" s="46" t="str">
        <f t="shared" si="0"/>
        <v>NO</v>
      </c>
      <c r="F55" s="46" t="str">
        <f t="shared" si="1"/>
        <v/>
      </c>
      <c r="G55" s="46">
        <f t="shared" si="2"/>
        <v>0</v>
      </c>
      <c r="H55" s="46">
        <f t="shared" si="3"/>
        <v>0</v>
      </c>
      <c r="I55" s="46" t="e">
        <f>IF(ISBLANK('HVAC sizing letter'!$C$25),IF($A55&lt;17,NA(),IF($A55&lt;47,$A55*'CALC-INPUTS'!$C$3+'CALC-INPUTS'!$D$3,IF($A55&lt;50,'CALC-INPUTS'!$B$3,NA()))),IF($A55&lt;5,NA(),IF($A55&lt;17,$A55*'CALC-INPUTS'!$C$4+'CALC-INPUTS'!$D$4,IF($A55&lt;47,$A55*'CALC-INPUTS'!$C$3+'CALC-INPUTS'!$D$3,IF($A55&lt;50,'CALC-INPUTS'!$B$3,NA())))))</f>
        <v>#N/A</v>
      </c>
      <c r="J55" s="46" t="e">
        <f>+IF(A55&lt;=50,A!$G$45*(1-((A55-(-9))/(50-(-9)))),NA())</f>
        <v>#N/A</v>
      </c>
      <c r="K55" s="46" t="e">
        <f>+(IF(A55&gt;=70,A!$G$46*(1-((88-A55)/(88-70))),NA()))</f>
        <v>#VALUE!</v>
      </c>
      <c r="L55" s="63" t="e">
        <f>++IF('HVAC sizing letter'!$C$14="No",NA(),IF(A55&gt;-8,IF(E55="YES",IF(ISBLANK('HVAC sizing letter'!$C$25),IF($A55&lt;17,0,IF($A55&lt;47,$A55*'CALC-INPUTS'!$C$3+'CALC-INPUTS'!$D$3,IF($A55&lt;50,'CALC-INPUTS'!$B$3,NA()))),IF($A55&lt;5,0,IF($A55&lt;17,$A55*'CALC-INPUTS'!$C$4+'CALC-INPUTS'!$D$4,IF($A55&lt;47,$A55*'CALC-INPUTS'!$C$3+'CALC-INPUTS'!$D$3,IF($A55&lt;50,'CALC-INPUTS'!$B$3,NA()))))),NA()),NA()))</f>
        <v>#N/A</v>
      </c>
      <c r="M55" s="63" t="e">
        <f>IF('HVAC sizing letter'!$C$14="No",NA(),IF(A55&gt;-8,IF(E55="YES",D55,NA()),NA()))</f>
        <v>#N/A</v>
      </c>
      <c r="N55" s="63" t="e">
        <f t="shared" si="4"/>
        <v>#N/A</v>
      </c>
    </row>
    <row r="56" spans="1:14" x14ac:dyDescent="0.25">
      <c r="A56" s="37">
        <v>88</v>
      </c>
      <c r="B56" s="37">
        <v>107</v>
      </c>
      <c r="C56" s="46">
        <f>IF(ISBLANK('HVAC sizing letter'!$C$25),IF($A56&lt;17,0,IF($A56&lt;47,$A56*'CALC-INPUTS'!$C$3+'CALC-INPUTS'!$D$3,IF($A56&lt;50,'CALC-INPUTS'!$B$3,0))),IF($A56&lt;5,0,IF($A56&lt;17,$A56*'CALC-INPUTS'!$C$4+'CALC-INPUTS'!$D$4,IF($A56&lt;47,$A56*'CALC-INPUTS'!$C$3+'CALC-INPUTS'!$D$3,IF($A56&lt;50,'CALC-INPUTS'!$B$3,0)))))</f>
        <v>0</v>
      </c>
      <c r="D56" s="46" t="e">
        <f>+(IF(A56&lt;=50,A!$G$45*(1-((A56-(-9))/(50-(-9)))),IF(AND(A56&gt;50,A56&lt;70),0,A!$G$46*(1-((88-A56)/(88-70))))))</f>
        <v>#VALUE!</v>
      </c>
      <c r="E56" s="46" t="str">
        <f t="shared" si="0"/>
        <v>NO</v>
      </c>
      <c r="F56" s="46" t="str">
        <f t="shared" si="1"/>
        <v/>
      </c>
      <c r="G56" s="46">
        <f t="shared" si="2"/>
        <v>0</v>
      </c>
      <c r="H56" s="46">
        <f t="shared" si="3"/>
        <v>0</v>
      </c>
      <c r="I56" s="46" t="e">
        <f>IF(ISBLANK('HVAC sizing letter'!$C$25),IF($A56&lt;17,NA(),IF($A56&lt;47,$A56*'CALC-INPUTS'!$C$3+'CALC-INPUTS'!$D$3,IF($A56&lt;50,'CALC-INPUTS'!$B$3,NA()))),IF($A56&lt;5,NA(),IF($A56&lt;17,$A56*'CALC-INPUTS'!$C$4+'CALC-INPUTS'!$D$4,IF($A56&lt;47,$A56*'CALC-INPUTS'!$C$3+'CALC-INPUTS'!$D$3,IF($A56&lt;50,'CALC-INPUTS'!$B$3,NA())))))</f>
        <v>#N/A</v>
      </c>
      <c r="J56" s="46" t="e">
        <f>+IF(A56&lt;=50,A!$G$45*(1-((A56-(-9))/(50-(-9)))),NA())</f>
        <v>#N/A</v>
      </c>
      <c r="K56" s="46" t="e">
        <f>+(IF(A56&gt;=70,A!$G$46*(1-((88-A56)/(88-70))),NA()))</f>
        <v>#VALUE!</v>
      </c>
      <c r="L56" s="63" t="e">
        <f>++IF('HVAC sizing letter'!$C$14="No",NA(),IF(A56&gt;-8,IF(E56="YES",IF(ISBLANK('HVAC sizing letter'!$C$25),IF($A56&lt;17,0,IF($A56&lt;47,$A56*'CALC-INPUTS'!$C$3+'CALC-INPUTS'!$D$3,IF($A56&lt;50,'CALC-INPUTS'!$B$3,NA()))),IF($A56&lt;5,0,IF($A56&lt;17,$A56*'CALC-INPUTS'!$C$4+'CALC-INPUTS'!$D$4,IF($A56&lt;47,$A56*'CALC-INPUTS'!$C$3+'CALC-INPUTS'!$D$3,IF($A56&lt;50,'CALC-INPUTS'!$B$3,NA()))))),NA()),NA()))</f>
        <v>#N/A</v>
      </c>
      <c r="M56" s="63" t="e">
        <f>IF('HVAC sizing letter'!$C$14="No",NA(),IF(A56&gt;-8,IF(E56="YES",D56,NA()),NA()))</f>
        <v>#N/A</v>
      </c>
      <c r="N56" s="63" t="e">
        <f t="shared" si="4"/>
        <v>#N/A</v>
      </c>
    </row>
    <row r="57" spans="1:14" x14ac:dyDescent="0.25">
      <c r="A57" s="37">
        <v>90</v>
      </c>
      <c r="B57" s="37">
        <v>48</v>
      </c>
      <c r="C57" s="46">
        <f>IF(ISBLANK('HVAC sizing letter'!$C$25),IF($A57&lt;17,0,IF($A57&lt;47,$A57*'CALC-INPUTS'!$C$3+'CALC-INPUTS'!$D$3,IF($A57&lt;50,'CALC-INPUTS'!$B$3,0))),IF($A57&lt;5,0,IF($A57&lt;17,$A57*'CALC-INPUTS'!$C$4+'CALC-INPUTS'!$D$4,IF($A57&lt;47,$A57*'CALC-INPUTS'!$C$3+'CALC-INPUTS'!$D$3,IF($A57&lt;50,'CALC-INPUTS'!$B$3,0)))))</f>
        <v>0</v>
      </c>
      <c r="D57" s="46" t="e">
        <f>+(IF(A57&lt;=50,A!$G$45*(1-((A57-(-9))/(50-(-9)))),IF(AND(A57&gt;50,A57&lt;70),0,A!$G$46*(1-((88-A57)/(88-70))))))</f>
        <v>#VALUE!</v>
      </c>
      <c r="E57" s="46" t="str">
        <f t="shared" si="0"/>
        <v>NO</v>
      </c>
      <c r="F57" s="46" t="str">
        <f t="shared" si="1"/>
        <v/>
      </c>
      <c r="G57" s="46">
        <f t="shared" si="2"/>
        <v>0</v>
      </c>
      <c r="H57" s="46">
        <f t="shared" si="3"/>
        <v>0</v>
      </c>
      <c r="I57" s="46" t="e">
        <f>IF(ISBLANK('HVAC sizing letter'!$C$25),IF($A57&lt;17,NA(),IF($A57&lt;47,$A57*'CALC-INPUTS'!$C$3+'CALC-INPUTS'!$D$3,IF($A57&lt;50,'CALC-INPUTS'!$B$3,NA()))),IF($A57&lt;5,NA(),IF($A57&lt;17,$A57*'CALC-INPUTS'!$C$4+'CALC-INPUTS'!$D$4,IF($A57&lt;47,$A57*'CALC-INPUTS'!$C$3+'CALC-INPUTS'!$D$3,IF($A57&lt;50,'CALC-INPUTS'!$B$3,NA())))))</f>
        <v>#N/A</v>
      </c>
      <c r="J57" s="46" t="e">
        <f>+IF(A57&lt;=50,A!$G$45*(1-((A57-(-9))/(50-(-9)))),NA())</f>
        <v>#N/A</v>
      </c>
      <c r="K57" s="46" t="e">
        <f>+(IF(A57&gt;=70,A!$G$46*(1-((88-A57)/(88-70))),NA()))</f>
        <v>#VALUE!</v>
      </c>
      <c r="L57" s="63" t="e">
        <f>++IF('HVAC sizing letter'!$C$14="No",NA(),IF(A57&gt;-8,IF(E57="YES",IF(ISBLANK('HVAC sizing letter'!$C$25),IF($A57&lt;17,0,IF($A57&lt;47,$A57*'CALC-INPUTS'!$C$3+'CALC-INPUTS'!$D$3,IF($A57&lt;50,'CALC-INPUTS'!$B$3,NA()))),IF($A57&lt;5,0,IF($A57&lt;17,$A57*'CALC-INPUTS'!$C$4+'CALC-INPUTS'!$D$4,IF($A57&lt;47,$A57*'CALC-INPUTS'!$C$3+'CALC-INPUTS'!$D$3,IF($A57&lt;50,'CALC-INPUTS'!$B$3,NA()))))),NA()),NA()))</f>
        <v>#N/A</v>
      </c>
      <c r="M57" s="63" t="e">
        <f>IF('HVAC sizing letter'!$C$14="No",NA(),IF(A57&gt;-8,IF(E57="YES",D57,NA()),NA()))</f>
        <v>#N/A</v>
      </c>
      <c r="N57" s="63" t="e">
        <f t="shared" si="4"/>
        <v>#N/A</v>
      </c>
    </row>
    <row r="58" spans="1:14" x14ac:dyDescent="0.25">
      <c r="A58" s="37">
        <v>92</v>
      </c>
      <c r="B58" s="37">
        <v>18</v>
      </c>
      <c r="C58" s="46">
        <f>IF(ISBLANK('HVAC sizing letter'!$C$25),IF($A58&lt;17,0,IF($A58&lt;47,$A58*'CALC-INPUTS'!$C$3+'CALC-INPUTS'!$D$3,IF($A58&lt;50,'CALC-INPUTS'!$B$3,0))),IF($A58&lt;5,0,IF($A58&lt;17,$A58*'CALC-INPUTS'!$C$4+'CALC-INPUTS'!$D$4,IF($A58&lt;47,$A58*'CALC-INPUTS'!$C$3+'CALC-INPUTS'!$D$3,IF($A58&lt;50,'CALC-INPUTS'!$B$3,0)))))</f>
        <v>0</v>
      </c>
      <c r="D58" s="46" t="e">
        <f>+(IF(A58&lt;=50,A!$G$45*(1-((A58-(-9))/(50-(-9)))),IF(AND(A58&gt;50,A58&lt;70),0,A!$G$46*(1-((88-A58)/(88-70))))))</f>
        <v>#VALUE!</v>
      </c>
      <c r="E58" s="46" t="str">
        <f t="shared" si="0"/>
        <v>NO</v>
      </c>
      <c r="F58" s="46" t="str">
        <f t="shared" si="1"/>
        <v/>
      </c>
      <c r="G58" s="46">
        <f t="shared" si="2"/>
        <v>0</v>
      </c>
      <c r="H58" s="46">
        <f t="shared" si="3"/>
        <v>0</v>
      </c>
      <c r="I58" s="46" t="e">
        <f>IF(ISBLANK('HVAC sizing letter'!$C$25),IF($A58&lt;17,NA(),IF($A58&lt;47,$A58*'CALC-INPUTS'!$C$3+'CALC-INPUTS'!$D$3,IF($A58&lt;50,'CALC-INPUTS'!$B$3,NA()))),IF($A58&lt;5,NA(),IF($A58&lt;17,$A58*'CALC-INPUTS'!$C$4+'CALC-INPUTS'!$D$4,IF($A58&lt;47,$A58*'CALC-INPUTS'!$C$3+'CALC-INPUTS'!$D$3,IF($A58&lt;50,'CALC-INPUTS'!$B$3,NA())))))</f>
        <v>#N/A</v>
      </c>
      <c r="J58" s="46" t="e">
        <f>+IF(A58&lt;=50,A!$G$45*(1-((A58-(-9))/(50-(-9)))),NA())</f>
        <v>#N/A</v>
      </c>
      <c r="K58" s="46" t="e">
        <f>+(IF(A58&gt;=70,A!$G$46*(1-((88-A58)/(88-70))),NA()))</f>
        <v>#VALUE!</v>
      </c>
      <c r="L58" s="63" t="e">
        <f>++IF('HVAC sizing letter'!$C$14="No",NA(),IF(A58&gt;-8,IF(E58="YES",IF(ISBLANK('HVAC sizing letter'!$C$25),IF($A58&lt;17,0,IF($A58&lt;47,$A58*'CALC-INPUTS'!$C$3+'CALC-INPUTS'!$D$3,IF($A58&lt;50,'CALC-INPUTS'!$B$3,NA()))),IF($A58&lt;5,0,IF($A58&lt;17,$A58*'CALC-INPUTS'!$C$4+'CALC-INPUTS'!$D$4,IF($A58&lt;47,$A58*'CALC-INPUTS'!$C$3+'CALC-INPUTS'!$D$3,IF($A58&lt;50,'CALC-INPUTS'!$B$3,NA()))))),NA()),NA()))</f>
        <v>#N/A</v>
      </c>
      <c r="M58" s="63" t="e">
        <f>IF('HVAC sizing letter'!$C$14="No",NA(),IF(A58&gt;-8,IF(E58="YES",D58,NA()),NA()))</f>
        <v>#N/A</v>
      </c>
      <c r="N58" s="63" t="e">
        <f t="shared" si="4"/>
        <v>#N/A</v>
      </c>
    </row>
    <row r="59" spans="1:14" x14ac:dyDescent="0.25">
      <c r="A59" s="37">
        <v>94</v>
      </c>
      <c r="B59" s="37">
        <v>13</v>
      </c>
      <c r="C59" s="46">
        <f>IF(ISBLANK('HVAC sizing letter'!$C$25),IF($A59&lt;17,0,IF($A59&lt;47,$A59*'CALC-INPUTS'!$C$3+'CALC-INPUTS'!$D$3,IF($A59&lt;50,'CALC-INPUTS'!$B$3,0))),IF($A59&lt;5,0,IF($A59&lt;17,$A59*'CALC-INPUTS'!$C$4+'CALC-INPUTS'!$D$4,IF($A59&lt;47,$A59*'CALC-INPUTS'!$C$3+'CALC-INPUTS'!$D$3,IF($A59&lt;50,'CALC-INPUTS'!$B$3,0)))))</f>
        <v>0</v>
      </c>
      <c r="D59" s="46" t="e">
        <f>+(IF(A59&lt;=50,A!$G$45*(1-((A59-(-9))/(50-(-9)))),IF(AND(A59&gt;50,A59&lt;70),0,A!$G$46*(1-((88-A59)/(88-70))))))</f>
        <v>#VALUE!</v>
      </c>
      <c r="E59" s="46" t="str">
        <f t="shared" si="0"/>
        <v>NO</v>
      </c>
      <c r="F59" s="46" t="str">
        <f t="shared" si="1"/>
        <v/>
      </c>
      <c r="G59" s="46">
        <f t="shared" si="2"/>
        <v>0</v>
      </c>
      <c r="H59" s="46">
        <f t="shared" si="3"/>
        <v>0</v>
      </c>
      <c r="I59" s="46" t="e">
        <f>IF(ISBLANK('HVAC sizing letter'!$C$25),IF($A59&lt;17,NA(),IF($A59&lt;47,$A59*'CALC-INPUTS'!$C$3+'CALC-INPUTS'!$D$3,IF($A59&lt;50,'CALC-INPUTS'!$B$3,NA()))),IF($A59&lt;5,NA(),IF($A59&lt;17,$A59*'CALC-INPUTS'!$C$4+'CALC-INPUTS'!$D$4,IF($A59&lt;47,$A59*'CALC-INPUTS'!$C$3+'CALC-INPUTS'!$D$3,IF($A59&lt;50,'CALC-INPUTS'!$B$3,NA())))))</f>
        <v>#N/A</v>
      </c>
      <c r="J59" s="46" t="e">
        <f>+IF(A59&lt;=50,A!$G$45*(1-((A59-(-9))/(50-(-9)))),NA())</f>
        <v>#N/A</v>
      </c>
      <c r="K59" s="46" t="e">
        <f>+(IF(A59&gt;=70,A!$G$46*(1-((88-A59)/(88-70))),NA()))</f>
        <v>#VALUE!</v>
      </c>
      <c r="L59" s="63" t="e">
        <f>++IF('HVAC sizing letter'!$C$14="No",NA(),IF(A59&gt;-8,IF(E59="YES",IF(ISBLANK('HVAC sizing letter'!$C$25),IF($A59&lt;17,0,IF($A59&lt;47,$A59*'CALC-INPUTS'!$C$3+'CALC-INPUTS'!$D$3,IF($A59&lt;50,'CALC-INPUTS'!$B$3,NA()))),IF($A59&lt;5,0,IF($A59&lt;17,$A59*'CALC-INPUTS'!$C$4+'CALC-INPUTS'!$D$4,IF($A59&lt;47,$A59*'CALC-INPUTS'!$C$3+'CALC-INPUTS'!$D$3,IF($A59&lt;50,'CALC-INPUTS'!$B$3,NA()))))),NA()),NA()))</f>
        <v>#N/A</v>
      </c>
      <c r="M59" s="63" t="e">
        <f>IF('HVAC sizing letter'!$C$14="No",NA(),IF(A59&gt;-8,IF(E59="YES",D59,NA()),NA()))</f>
        <v>#N/A</v>
      </c>
      <c r="N59" s="63" t="e">
        <f t="shared" si="4"/>
        <v>#N/A</v>
      </c>
    </row>
    <row r="60" spans="1:14" x14ac:dyDescent="0.25">
      <c r="A60" s="37">
        <v>96</v>
      </c>
      <c r="B60" s="37">
        <v>8</v>
      </c>
      <c r="C60" s="46">
        <f>IF(ISBLANK('HVAC sizing letter'!$C$25),IF($A60&lt;17,0,IF($A60&lt;47,$A60*'CALC-INPUTS'!$C$3+'CALC-INPUTS'!$D$3,IF($A60&lt;50,'CALC-INPUTS'!$B$3,0))),IF($A60&lt;5,0,IF($A60&lt;17,$A60*'CALC-INPUTS'!$C$4+'CALC-INPUTS'!$D$4,IF($A60&lt;47,$A60*'CALC-INPUTS'!$C$3+'CALC-INPUTS'!$D$3,IF($A60&lt;50,'CALC-INPUTS'!$B$3,0)))))</f>
        <v>0</v>
      </c>
      <c r="D60" s="46" t="e">
        <f>+(IF(A60&lt;=50,A!$G$45*(1-((A60-(-9))/(50-(-9)))),IF(AND(A60&gt;50,A60&lt;70),0,A!$G$46*(1-((88-A60)/(88-70))))))</f>
        <v>#VALUE!</v>
      </c>
      <c r="E60" s="46" t="str">
        <f t="shared" si="0"/>
        <v>NO</v>
      </c>
      <c r="F60" s="46" t="str">
        <f t="shared" si="1"/>
        <v/>
      </c>
      <c r="G60" s="46">
        <f t="shared" si="2"/>
        <v>0</v>
      </c>
      <c r="H60" s="46">
        <f t="shared" si="3"/>
        <v>0</v>
      </c>
      <c r="I60" s="46" t="e">
        <f>IF(ISBLANK('HVAC sizing letter'!$C$25),IF($A60&lt;17,NA(),IF($A60&lt;47,$A60*'CALC-INPUTS'!$C$3+'CALC-INPUTS'!$D$3,IF($A60&lt;50,'CALC-INPUTS'!$B$3,NA()))),IF($A60&lt;5,NA(),IF($A60&lt;17,$A60*'CALC-INPUTS'!$C$4+'CALC-INPUTS'!$D$4,IF($A60&lt;47,$A60*'CALC-INPUTS'!$C$3+'CALC-INPUTS'!$D$3,IF($A60&lt;50,'CALC-INPUTS'!$B$3,NA())))))</f>
        <v>#N/A</v>
      </c>
      <c r="J60" s="46" t="e">
        <f>+IF(A60&lt;=50,A!$G$45*(1-((A60-(-9))/(50-(-9)))),NA())</f>
        <v>#N/A</v>
      </c>
      <c r="K60" s="46" t="e">
        <f>+(IF(A60&gt;=70,A!$G$46*(1-((88-A60)/(88-70))),NA()))</f>
        <v>#VALUE!</v>
      </c>
      <c r="L60" s="63" t="e">
        <f>++IF('HVAC sizing letter'!$C$14="No",NA(),IF(A60&gt;-8,IF(E60="YES",IF(ISBLANK('HVAC sizing letter'!$C$25),IF($A60&lt;17,0,IF($A60&lt;47,$A60*'CALC-INPUTS'!$C$3+'CALC-INPUTS'!$D$3,IF($A60&lt;50,'CALC-INPUTS'!$B$3,NA()))),IF($A60&lt;5,0,IF($A60&lt;17,$A60*'CALC-INPUTS'!$C$4+'CALC-INPUTS'!$D$4,IF($A60&lt;47,$A60*'CALC-INPUTS'!$C$3+'CALC-INPUTS'!$D$3,IF($A60&lt;50,'CALC-INPUTS'!$B$3,NA()))))),NA()),NA()))</f>
        <v>#N/A</v>
      </c>
      <c r="M60" s="63" t="e">
        <f>IF('HVAC sizing letter'!$C$14="No",NA(),IF(A60&gt;-8,IF(E60="YES",D60,NA()),NA()))</f>
        <v>#N/A</v>
      </c>
      <c r="N60" s="63" t="e">
        <f t="shared" si="4"/>
        <v>#N/A</v>
      </c>
    </row>
    <row r="61" spans="1:14" x14ac:dyDescent="0.25">
      <c r="A61" s="37">
        <v>98</v>
      </c>
      <c r="B61" s="37">
        <v>6</v>
      </c>
      <c r="C61" s="46">
        <f>IF(ISBLANK('HVAC sizing letter'!$C$25),IF($A61&lt;17,0,IF($A61&lt;47,$A61*'CALC-INPUTS'!$C$3+'CALC-INPUTS'!$D$3,IF($A61&lt;50,'CALC-INPUTS'!$B$3,0))),IF($A61&lt;5,0,IF($A61&lt;17,$A61*'CALC-INPUTS'!$C$4+'CALC-INPUTS'!$D$4,IF($A61&lt;47,$A61*'CALC-INPUTS'!$C$3+'CALC-INPUTS'!$D$3,IF($A61&lt;50,'CALC-INPUTS'!$B$3,0)))))</f>
        <v>0</v>
      </c>
      <c r="D61" s="46" t="e">
        <f>+(IF(A61&lt;=50,A!$G$45*(1-((A61-(-9))/(50-(-9)))),IF(AND(A61&gt;50,A61&lt;70),0,A!$G$46*(1-((88-A61)/(88-70))))))</f>
        <v>#VALUE!</v>
      </c>
      <c r="E61" s="46" t="str">
        <f t="shared" si="0"/>
        <v>NO</v>
      </c>
      <c r="F61" s="46" t="str">
        <f t="shared" si="1"/>
        <v/>
      </c>
      <c r="G61" s="46">
        <f t="shared" si="2"/>
        <v>0</v>
      </c>
      <c r="H61" s="46">
        <f t="shared" si="3"/>
        <v>0</v>
      </c>
      <c r="I61" s="46" t="e">
        <f>IF(ISBLANK('HVAC sizing letter'!$C$25),IF($A61&lt;17,NA(),IF($A61&lt;47,$A61*'CALC-INPUTS'!$C$3+'CALC-INPUTS'!$D$3,IF($A61&lt;50,'CALC-INPUTS'!$B$3,NA()))),IF($A61&lt;5,NA(),IF($A61&lt;17,$A61*'CALC-INPUTS'!$C$4+'CALC-INPUTS'!$D$4,IF($A61&lt;47,$A61*'CALC-INPUTS'!$C$3+'CALC-INPUTS'!$D$3,IF($A61&lt;50,'CALC-INPUTS'!$B$3,NA())))))</f>
        <v>#N/A</v>
      </c>
      <c r="J61" s="46" t="e">
        <f>+IF(A61&lt;=50,A!$G$45*(1-((A61-(-9))/(50-(-9)))),NA())</f>
        <v>#N/A</v>
      </c>
      <c r="K61" s="46" t="e">
        <f>+(IF(A61&gt;=70,A!$G$46*(1-((88-A61)/(88-70))),NA()))</f>
        <v>#VALUE!</v>
      </c>
      <c r="L61" s="63" t="e">
        <f>++IF('HVAC sizing letter'!$C$14="No",NA(),IF(A61&gt;-8,IF(E61="YES",IF(ISBLANK('HVAC sizing letter'!$C$25),IF($A61&lt;17,0,IF($A61&lt;47,$A61*'CALC-INPUTS'!$C$3+'CALC-INPUTS'!$D$3,IF($A61&lt;50,'CALC-INPUTS'!$B$3,NA()))),IF($A61&lt;5,0,IF($A61&lt;17,$A61*'CALC-INPUTS'!$C$4+'CALC-INPUTS'!$D$4,IF($A61&lt;47,$A61*'CALC-INPUTS'!$C$3+'CALC-INPUTS'!$D$3,IF($A61&lt;50,'CALC-INPUTS'!$B$3,NA()))))),NA()),NA()))</f>
        <v>#N/A</v>
      </c>
      <c r="M61" s="63" t="e">
        <f>IF('HVAC sizing letter'!$C$14="No",NA(),IF(A61&gt;-8,IF(E61="YES",D61,NA()),NA()))</f>
        <v>#N/A</v>
      </c>
      <c r="N61" s="63" t="e">
        <f t="shared" si="4"/>
        <v>#N/A</v>
      </c>
    </row>
    <row r="64" spans="1:14" ht="18.75" x14ac:dyDescent="0.25">
      <c r="F64" s="47" t="e">
        <f>IF(SUM(F2:F61)&gt;47," Building load profile",("Switchover temperature = "&amp;SUM(F2:F61)&amp;" F"))</f>
        <v>#VALUE!</v>
      </c>
    </row>
  </sheetData>
  <sheetProtection algorithmName="SHA-512" hashValue="nsuh0S7QdvGAkReMca4vyLbMM/l6HVwWq0PINj4u945KC81PWJUrOdU+jUot7Znarws/kTI8LXlEC0ANkyWytA==" saltValue="9Mcso6R+PPLNt377ZMO4qg==" spinCount="100000" sheet="1" objects="1" scenarios="1" selectLockedCells="1" selectUnlockedCells="1"/>
  <conditionalFormatting sqref="C2:C61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{7C9FBA00-AC8D-4C8C-B120-3C20AD5BAC86}</x14:id>
        </ext>
      </extLst>
    </cfRule>
  </conditionalFormatting>
  <conditionalFormatting sqref="D2:D6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{74300913-1FB9-4CEC-86B8-8FDABCA8B85A}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9FBA00-AC8D-4C8C-B120-3C20AD5BAC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C2:C61</xm:sqref>
        </x14:conditionalFormatting>
        <x14:conditionalFormatting xmlns:xm="http://schemas.microsoft.com/office/excel/2006/main">
          <x14:cfRule type="dataBar" id="{74300913-1FB9-4CEC-86B8-8FDABCA8B85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D2:D61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BF9E-F81B-41C6-A61F-0D31BCB883E2}">
  <sheetPr codeName="Sheet5"/>
  <dimension ref="A1"/>
  <sheetViews>
    <sheetView showGridLines="0" workbookViewId="0">
      <selection activeCell="E35" sqref="E35"/>
    </sheetView>
  </sheetViews>
  <sheetFormatPr defaultRowHeight="15" x14ac:dyDescent="0.25"/>
  <sheetData/>
  <sheetProtection algorithmName="SHA-512" hashValue="LaQvJF8w+vWBriO3s1+p56NTMzrRiH9mrcVtWRFPhKYCI22OmxIUP4Jp0nnwcXVq6rkzZpJe+RMQjOLrbURTwg==" saltValue="jgh6QMOE18UvEk5vpApqbw==" spinCount="100000" sheet="1" objects="1" scenarios="1" selectLockedCells="1" selectUn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F03B50D87D594089EC9C4A698933FC" ma:contentTypeVersion="14" ma:contentTypeDescription="Create a new document." ma:contentTypeScope="" ma:versionID="0f5b5054231c934fc930eeae2a94f391">
  <xsd:schema xmlns:xsd="http://www.w3.org/2001/XMLSchema" xmlns:xs="http://www.w3.org/2001/XMLSchema" xmlns:p="http://schemas.microsoft.com/office/2006/metadata/properties" xmlns:ns3="28f23cf4-4deb-4ce1-9835-fbbc0a09c112" xmlns:ns4="82d45b94-fb58-48dd-9f56-cec581ad46cb" targetNamespace="http://schemas.microsoft.com/office/2006/metadata/properties" ma:root="true" ma:fieldsID="aeb380a31ad4fab6a9f8a24d869ffbf1" ns3:_="" ns4:_="">
    <xsd:import namespace="28f23cf4-4deb-4ce1-9835-fbbc0a09c112"/>
    <xsd:import namespace="82d45b94-fb58-48dd-9f56-cec581ad46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23cf4-4deb-4ce1-9835-fbbc0a09c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45b94-fb58-48dd-9f56-cec581ad4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f23cf4-4deb-4ce1-9835-fbbc0a09c112" xsi:nil="true"/>
  </documentManagement>
</p:properties>
</file>

<file path=customXml/itemProps1.xml><?xml version="1.0" encoding="utf-8"?>
<ds:datastoreItem xmlns:ds="http://schemas.openxmlformats.org/officeDocument/2006/customXml" ds:itemID="{8C9CCBFF-3EC8-4DB4-81E9-B8D51EC3DF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AB93A5-A765-4EC5-AA2D-4D87BE5CD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23cf4-4deb-4ce1-9835-fbbc0a09c112"/>
    <ds:schemaRef ds:uri="82d45b94-fb58-48dd-9f56-cec581ad4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701CC1-4F36-45A0-9CB7-2D792B124F6C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82d45b94-fb58-48dd-9f56-cec581ad46cb"/>
    <ds:schemaRef ds:uri="28f23cf4-4deb-4ce1-9835-fbbc0a09c112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HVAC sizing letter</vt:lpstr>
      <vt:lpstr>Example</vt:lpstr>
      <vt:lpstr>A</vt:lpstr>
      <vt:lpstr>sanity check</vt:lpstr>
      <vt:lpstr>CALC-INPUTS</vt:lpstr>
      <vt:lpstr>chart</vt:lpstr>
      <vt:lpstr>Design weather </vt:lpstr>
      <vt:lpstr>A!Print_Area</vt:lpstr>
      <vt:lpstr>Example!Print_Area</vt:lpstr>
      <vt:lpstr>'HVAC sizing letter'!Print_Area</vt:lpstr>
    </vt:vector>
  </TitlesOfParts>
  <Manager/>
  <Company>Cedar Falls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Hein</dc:creator>
  <cp:keywords/>
  <dc:description/>
  <cp:lastModifiedBy>Jacob Boeschen</cp:lastModifiedBy>
  <cp:revision/>
  <dcterms:created xsi:type="dcterms:W3CDTF">2019-07-16T12:14:25Z</dcterms:created>
  <dcterms:modified xsi:type="dcterms:W3CDTF">2025-03-07T14:58:15Z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0x010100ACF03B50D87D594089EC9C4A698933FC</vt:lpwstr>
  </property>
  <property fmtid="{D5CDD505-2E9C-101B-9397-08002B2CF9AE}" pid="3" name="MediaServiceImageTags">
    <vt:lpwstr/>
  </property>
</Properties>
</file>